
<file path=[Content_Types].xml><?xml version="1.0" encoding="utf-8"?>
<Types xmlns="http://schemas.openxmlformats.org/package/2006/content-types">
  <Default Extension="bin" ContentType="application/vnd.ms-office.vbaProject"/>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DieseArbeitsmappe" autoCompressPictures="0"/>
  <bookViews>
    <workbookView xWindow="165" yWindow="300" windowWidth="25440" windowHeight="15990"/>
  </bookViews>
  <sheets>
    <sheet name="ProCold_Calculator" sheetId="2" r:id="rId1"/>
  </sheets>
  <definedNames>
    <definedName name="_xlnm.Print_Area" localSheetId="0">ProCold_Calculator!$W$4:$AJ$51</definedName>
    <definedName name="SpalteVorher">ProCold_Calculator!$M$13</definedName>
    <definedName name="ZeileN">ProCold_Calculator!$M$11</definedName>
    <definedName name="ZeileVorher">ProCold_Calculator!$M$12</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AD25" i="2" l="1"/>
  <c r="M11" i="2"/>
  <c r="L21" i="2" s="1"/>
  <c r="P73" i="2"/>
  <c r="O21" i="2"/>
  <c r="M12" i="2"/>
  <c r="M13" i="2"/>
  <c r="P21" i="2"/>
  <c r="R21" i="2"/>
  <c r="L22" i="2"/>
  <c r="P100" i="2"/>
  <c r="O22" i="2" s="1"/>
  <c r="P22" i="2"/>
  <c r="R22" i="2"/>
  <c r="L23" i="2"/>
  <c r="P109" i="2"/>
  <c r="O23" i="2"/>
  <c r="P23" i="2"/>
  <c r="R23" i="2"/>
  <c r="P112" i="2"/>
  <c r="O24" i="2"/>
  <c r="P24" i="2"/>
  <c r="R24" i="2"/>
  <c r="L25" i="2"/>
  <c r="P133" i="2"/>
  <c r="O25" i="2" s="1"/>
  <c r="P25" i="2"/>
  <c r="R25" i="2"/>
  <c r="L26" i="2"/>
  <c r="P139" i="2"/>
  <c r="O26" i="2" s="1"/>
  <c r="P26" i="2"/>
  <c r="R26" i="2"/>
  <c r="P38" i="2"/>
  <c r="P39" i="2"/>
  <c r="X25" i="2"/>
  <c r="AB25" i="2"/>
  <c r="R48" i="2" s="1"/>
  <c r="Z25" i="2"/>
  <c r="Z26" i="2"/>
  <c r="M56" i="2"/>
  <c r="N56" i="2"/>
  <c r="L57" i="2"/>
  <c r="M57" i="2"/>
  <c r="N57" i="2"/>
  <c r="L58" i="2"/>
  <c r="AA7" i="2"/>
  <c r="AD28" i="2"/>
  <c r="AC8" i="2"/>
  <c r="AB8" i="2"/>
  <c r="W30" i="2"/>
  <c r="W29" i="2"/>
  <c r="AA22" i="2"/>
  <c r="AA21" i="2"/>
  <c r="W21" i="2"/>
  <c r="W22" i="2"/>
  <c r="Z24" i="2"/>
  <c r="W33" i="2"/>
  <c r="AA26" i="2"/>
  <c r="AA25" i="2"/>
  <c r="AD24" i="2"/>
  <c r="W32" i="2"/>
  <c r="AA28" i="2"/>
  <c r="X28" i="2"/>
  <c r="AC27" i="2"/>
  <c r="AC26" i="2"/>
  <c r="AC25" i="2"/>
  <c r="W23" i="2"/>
  <c r="AA19" i="2"/>
  <c r="W15" i="2"/>
  <c r="W19" i="2"/>
  <c r="W13" i="2"/>
  <c r="W12" i="2"/>
  <c r="AB7" i="2"/>
  <c r="AC7" i="2"/>
  <c r="W6" i="2"/>
  <c r="W4" i="2"/>
  <c r="W17" i="2"/>
  <c r="W10" i="2"/>
  <c r="W7" i="2"/>
  <c r="W8" i="2"/>
  <c r="AB24" i="2"/>
  <c r="X24" i="2"/>
  <c r="W27" i="2"/>
  <c r="W26" i="2"/>
  <c r="W25" i="2"/>
  <c r="M33" i="2" l="1"/>
  <c r="M35" i="2" s="1"/>
  <c r="X29" i="2" s="1"/>
  <c r="AA29" i="2" s="1"/>
  <c r="N33" i="2"/>
  <c r="X30" i="2"/>
  <c r="P33" i="2"/>
  <c r="AD29" i="2" s="1"/>
  <c r="X32" i="2"/>
  <c r="L24" i="2"/>
  <c r="M58" i="2"/>
  <c r="AA30" i="2" l="1"/>
  <c r="X26" i="2"/>
  <c r="AB26" i="2" l="1"/>
  <c r="AD26" i="2"/>
  <c r="AD27" i="2" s="1"/>
  <c r="X27" i="2"/>
  <c r="N58" i="2" l="1"/>
  <c r="R49" i="2"/>
  <c r="AB27" i="2"/>
</calcChain>
</file>

<file path=xl/sharedStrings.xml><?xml version="1.0" encoding="utf-8"?>
<sst xmlns="http://schemas.openxmlformats.org/spreadsheetml/2006/main" count="859" uniqueCount="325">
  <si>
    <t xml:space="preserve">COMPACT K 210 RG </t>
  </si>
  <si>
    <t>PTGM4</t>
  </si>
  <si>
    <t>PTGM3</t>
  </si>
  <si>
    <t>PTGM2</t>
  </si>
  <si>
    <t>Energy efficiency class</t>
  </si>
  <si>
    <t>A</t>
  </si>
  <si>
    <t>B</t>
  </si>
  <si>
    <t>C</t>
  </si>
  <si>
    <t>EEI</t>
  </si>
  <si>
    <t>Table coefficient M a. N</t>
  </si>
  <si>
    <t>category</t>
  </si>
  <si>
    <t>M</t>
  </si>
  <si>
    <t>N</t>
  </si>
  <si>
    <t>AEC</t>
  </si>
  <si>
    <t>E24h x 365</t>
  </si>
  <si>
    <t>SAEC</t>
  </si>
  <si>
    <t>M x Vn + N</t>
  </si>
  <si>
    <t>Formeln</t>
  </si>
  <si>
    <t>(AEC/SAEC) x 100</t>
  </si>
  <si>
    <t xml:space="preserve">EEI </t>
  </si>
  <si>
    <t>A+++</t>
  </si>
  <si>
    <t>A++</t>
  </si>
  <si>
    <t>A+</t>
  </si>
  <si>
    <t>D</t>
  </si>
  <si>
    <t>E</t>
  </si>
  <si>
    <t>F</t>
  </si>
  <si>
    <t>G</t>
  </si>
  <si>
    <t>siehe Seite 14 labeling.pdf</t>
  </si>
  <si>
    <t>Modell</t>
  </si>
  <si>
    <t>DATENBANK</t>
  </si>
  <si>
    <t>Nutzungsdauer</t>
  </si>
  <si>
    <t>France</t>
  </si>
  <si>
    <t>Sprache</t>
  </si>
  <si>
    <t>Spalte vorher</t>
  </si>
  <si>
    <t>Zeile 1</t>
  </si>
  <si>
    <t>Netto Volumen</t>
  </si>
  <si>
    <t>Professional Storage Cabinets</t>
  </si>
  <si>
    <t>"Professional Storage Cabinets"</t>
  </si>
  <si>
    <t>Berechnungseinstellungen</t>
  </si>
  <si>
    <t>"Calculation Settings"</t>
  </si>
  <si>
    <t>Electricity tariff</t>
  </si>
  <si>
    <t>Stromtarif</t>
  </si>
  <si>
    <t>"Electricity tariff"</t>
  </si>
  <si>
    <r>
      <t>CO</t>
    </r>
    <r>
      <rPr>
        <vertAlign val="subscript"/>
        <sz val="10"/>
        <rFont val="Arial"/>
        <family val="2"/>
      </rPr>
      <t xml:space="preserve">2 </t>
    </r>
    <r>
      <rPr>
        <sz val="10"/>
        <rFont val="Arial"/>
        <family val="2"/>
      </rPr>
      <t>Emissonsfaktor</t>
    </r>
  </si>
  <si>
    <r>
      <t>CO</t>
    </r>
    <r>
      <rPr>
        <vertAlign val="subscript"/>
        <sz val="10"/>
        <rFont val="Arial"/>
        <family val="2"/>
      </rPr>
      <t>2</t>
    </r>
    <r>
      <rPr>
        <sz val="10"/>
        <rFont val="Arial"/>
        <family val="2"/>
      </rPr>
      <t xml:space="preserve"> emission factor</t>
    </r>
  </si>
  <si>
    <r>
      <t>"CO</t>
    </r>
    <r>
      <rPr>
        <vertAlign val="subscript"/>
        <sz val="10"/>
        <rFont val="Arial"/>
        <family val="2"/>
      </rPr>
      <t>2</t>
    </r>
    <r>
      <rPr>
        <sz val="10"/>
        <rFont val="Arial"/>
        <family val="2"/>
      </rPr>
      <t xml:space="preserve"> emission factor"</t>
    </r>
  </si>
  <si>
    <t>Select product type</t>
  </si>
  <si>
    <t>Auswahl des Produkttyps</t>
  </si>
  <si>
    <t>"Select product type"</t>
  </si>
  <si>
    <t>Storage Counter Refrigerators</t>
  </si>
  <si>
    <t>Storage Refrigerators 1-door</t>
  </si>
  <si>
    <t>Storage Counter Freezers</t>
  </si>
  <si>
    <t>Storage Freezers 1 - door</t>
  </si>
  <si>
    <t>Storage Freezers 2 - doors</t>
  </si>
  <si>
    <t>Storage Refrigerators 2 - doors</t>
  </si>
  <si>
    <t>Net volume</t>
  </si>
  <si>
    <t>"Net volume"</t>
  </si>
  <si>
    <t>Anzahl an Produkten derselben Kategorie</t>
  </si>
  <si>
    <t>"Number of products in same category"</t>
  </si>
  <si>
    <t>Service life</t>
  </si>
  <si>
    <t>"Service life"</t>
  </si>
  <si>
    <t>Energy consumption</t>
  </si>
  <si>
    <t>Energy costs</t>
  </si>
  <si>
    <t>Total Savings</t>
  </si>
  <si>
    <t>Energy Efficiency Index</t>
  </si>
  <si>
    <t>Energy Class</t>
  </si>
  <si>
    <t xml:space="preserve">Top Produkt(e) </t>
  </si>
  <si>
    <t>"Top product(s)"</t>
  </si>
  <si>
    <t>Gesamte Ersparnis</t>
  </si>
  <si>
    <t>"Total Savings"</t>
  </si>
  <si>
    <t>Energieverbrauch</t>
  </si>
  <si>
    <t>"Energy consumption"</t>
  </si>
  <si>
    <t>Energiekosten</t>
  </si>
  <si>
    <t>"Energy costs"</t>
  </si>
  <si>
    <r>
      <t>CO</t>
    </r>
    <r>
      <rPr>
        <vertAlign val="subscript"/>
        <sz val="10"/>
        <rFont val="Arial"/>
        <family val="2"/>
      </rPr>
      <t>2</t>
    </r>
    <r>
      <rPr>
        <sz val="10"/>
        <rFont val="Arial"/>
        <family val="2"/>
      </rPr>
      <t xml:space="preserve"> emissions</t>
    </r>
  </si>
  <si>
    <r>
      <t>CO</t>
    </r>
    <r>
      <rPr>
        <vertAlign val="subscript"/>
        <sz val="10"/>
        <rFont val="Arial"/>
        <family val="2"/>
      </rPr>
      <t>2</t>
    </r>
    <r>
      <rPr>
        <sz val="10"/>
        <rFont val="Arial"/>
        <family val="2"/>
      </rPr>
      <t xml:space="preserve"> Emissionen</t>
    </r>
  </si>
  <si>
    <r>
      <t>"CO</t>
    </r>
    <r>
      <rPr>
        <vertAlign val="subscript"/>
        <sz val="10"/>
        <rFont val="Arial"/>
        <family val="2"/>
      </rPr>
      <t>2</t>
    </r>
    <r>
      <rPr>
        <sz val="10"/>
        <rFont val="Arial"/>
        <family val="2"/>
      </rPr>
      <t xml:space="preserve"> emissions"</t>
    </r>
  </si>
  <si>
    <t>Energie Effizienz Index</t>
  </si>
  <si>
    <t>"Energy Efficiency Index"</t>
  </si>
  <si>
    <t>Energie Effizienz Klasse</t>
  </si>
  <si>
    <t>"Energy Class"</t>
  </si>
  <si>
    <t>Auswahl:</t>
  </si>
  <si>
    <t>Top product</t>
  </si>
  <si>
    <t>"Top product"</t>
  </si>
  <si>
    <t>topprodukte</t>
  </si>
  <si>
    <t>EURO K 500 LSG</t>
  </si>
  <si>
    <t>Inventus CX7</t>
  </si>
  <si>
    <t>Superior Plus K72G</t>
  </si>
  <si>
    <t>Inventus C8</t>
  </si>
  <si>
    <t>Inventus C6</t>
  </si>
  <si>
    <t>Eco Plus K70G</t>
  </si>
  <si>
    <t>Inventus C7</t>
  </si>
  <si>
    <t>MIDI K 625 LSG</t>
  </si>
  <si>
    <t>EcoPro EP700H</t>
  </si>
  <si>
    <t>GKPv 6590</t>
  </si>
  <si>
    <t>GKv 5710</t>
  </si>
  <si>
    <t>PGM7</t>
  </si>
  <si>
    <t>GKPv 6570</t>
  </si>
  <si>
    <t>GKv 5730</t>
  </si>
  <si>
    <t>IPGM7G</t>
  </si>
  <si>
    <t>GKv 6410</t>
  </si>
  <si>
    <t>COMPACT K 610 LG</t>
  </si>
  <si>
    <t>Plus K 660 LSG</t>
  </si>
  <si>
    <t>TWIN K 660 LSG</t>
  </si>
  <si>
    <t>TWIN K 600 RSG</t>
  </si>
  <si>
    <t>COMPACT K 410 LG</t>
  </si>
  <si>
    <t>MIDI K 425 LSG</t>
  </si>
  <si>
    <t>Ecostore Touch 727298</t>
  </si>
  <si>
    <t>Ecostore Premium 727310</t>
  </si>
  <si>
    <t>PLUS K 600 RSG</t>
  </si>
  <si>
    <t>Mittelwert</t>
  </si>
  <si>
    <t>PG2M14</t>
  </si>
  <si>
    <t>GKPv 1470</t>
  </si>
  <si>
    <t>Ecostore Premium 727322</t>
  </si>
  <si>
    <t>GKPv 1490</t>
  </si>
  <si>
    <t>PGM14G</t>
  </si>
  <si>
    <t>Ecostore Premium 727320</t>
  </si>
  <si>
    <t>Ecostore Touch 727304</t>
  </si>
  <si>
    <t>PGM14</t>
  </si>
  <si>
    <t>COMPACT F 210 LG</t>
  </si>
  <si>
    <t>GGU 1500</t>
  </si>
  <si>
    <t>COMPACT F 610 RG</t>
  </si>
  <si>
    <t>EcoPro EP700L</t>
  </si>
  <si>
    <t>F 605 RG</t>
  </si>
  <si>
    <t>EURO F 500 LSG</t>
  </si>
  <si>
    <t>GGPv 6570</t>
  </si>
  <si>
    <t>MIDI F 425 RSG</t>
  </si>
  <si>
    <t>PLUS F 660 RSG</t>
  </si>
  <si>
    <t>PLUS F 600 RSG</t>
  </si>
  <si>
    <t>GGPv 6590</t>
  </si>
  <si>
    <t>Ecostore Premium 727314</t>
  </si>
  <si>
    <t>TWIN F 600 RSG</t>
  </si>
  <si>
    <t>MIDI F 625 LSG</t>
  </si>
  <si>
    <t>TWIN F 600 LSG</t>
  </si>
  <si>
    <t>GGv 5810</t>
  </si>
  <si>
    <t>Ecostore Touch 727300</t>
  </si>
  <si>
    <t>GGv 5010</t>
  </si>
  <si>
    <t>Inventus F6</t>
  </si>
  <si>
    <t>Inventus F8</t>
  </si>
  <si>
    <t>Inventus F7</t>
  </si>
  <si>
    <t>Inventus FX7</t>
  </si>
  <si>
    <t>PLUS F 1270 RSG</t>
  </si>
  <si>
    <t>PLUS F 1400 RSG</t>
  </si>
  <si>
    <t>GGPv 1470</t>
  </si>
  <si>
    <t>Ecostore Premium 727323</t>
  </si>
  <si>
    <t>GGPv 1490</t>
  </si>
  <si>
    <t>"Storage Counter Refrigerators"</t>
  </si>
  <si>
    <t>"Storage Refrigerators 2 - doors"</t>
  </si>
  <si>
    <t>"Storage Counter Freezers"</t>
  </si>
  <si>
    <t>"Storage Freezers 1 - door"</t>
  </si>
  <si>
    <t>"Storage Freezers 2 - doors"</t>
  </si>
  <si>
    <t>Lager-Kühlgeräte Unterbau</t>
  </si>
  <si>
    <t>Lager-Tiefkühlgeräte Unterbau</t>
  </si>
  <si>
    <t>Lager-Tiefkühlschränke 1-türig</t>
  </si>
  <si>
    <t>Lager-Tiefkühlschränke 2-türig</t>
  </si>
  <si>
    <t>Tipplink</t>
  </si>
  <si>
    <t>EEI &lt; 10</t>
  </si>
  <si>
    <t>20 ≤ EEI &lt; 30</t>
  </si>
  <si>
    <t>30 ≤ EEI &lt; 40</t>
  </si>
  <si>
    <t>40 ≤ EEI &lt; 55</t>
  </si>
  <si>
    <t>55 ≤ EEI &lt; 75</t>
  </si>
  <si>
    <t>75 ≤ EEI &lt; 85</t>
  </si>
  <si>
    <t>85 ≤ EEI &lt; 95</t>
  </si>
  <si>
    <t>95 ≤ EEI &lt; 115</t>
  </si>
  <si>
    <t>10 ≤ EEI &lt; 15</t>
  </si>
  <si>
    <t>Tabelle EEI</t>
  </si>
  <si>
    <t>"Tip-Link"</t>
  </si>
  <si>
    <t>Germany</t>
  </si>
  <si>
    <t>Italy</t>
  </si>
  <si>
    <t>Portugal</t>
  </si>
  <si>
    <t>Czech Rep.</t>
  </si>
  <si>
    <t>Sweden</t>
  </si>
  <si>
    <t>EU</t>
  </si>
  <si>
    <t>Professionelle Lagerkühlgeräte</t>
  </si>
  <si>
    <t>Storage Refrigerators 1 - door</t>
  </si>
  <si>
    <t>Lager-Kühlschränke 1 - türig</t>
  </si>
  <si>
    <t>"Storage Refrigerators 1 - door"</t>
  </si>
  <si>
    <t>„Find efficient Storage Freezers 1 - door online“</t>
  </si>
  <si>
    <t>„Find efficient Storage Freezers 2 - doors online“</t>
  </si>
  <si>
    <t>„Find efficient Storage Counter Freezers online“</t>
  </si>
  <si>
    <t>„Find efficient Storage Refrigerators 1 - door online“</t>
  </si>
  <si>
    <t>„Find efficient Storage Counter Refrigerators online“</t>
  </si>
  <si>
    <t>„Find efficient Storage Refrigerators 2 - doors online“</t>
  </si>
  <si>
    <t>"Finde effiziente Lager-Kühlgeräte (Unterbau) online"</t>
  </si>
  <si>
    <t>"Finde effiziente Lager-Kühlschränke 1 - türig online"</t>
  </si>
  <si>
    <t>"Finde effiziente Lager-Kühlschränke 2-türig online"</t>
  </si>
  <si>
    <t>"Finde effiziente Lager-Tiefkühlgeräte (Unterbau) online"</t>
  </si>
  <si>
    <t>"Finde effiziente Lager-Tiefkühlschränke 1-türig online"</t>
  </si>
  <si>
    <t>"„Find efficient Storage Counter Refrigerators online“"</t>
  </si>
  <si>
    <t>"„Find efficient Storage Refrigerators 1 - door online“"</t>
  </si>
  <si>
    <t>"„Find efficient Storage Refrigerators 2 - doors online“"</t>
  </si>
  <si>
    <t>"„Find efficient Storage Counter Freezers online“"</t>
  </si>
  <si>
    <t>"„Find efficient Storage Freezers 1 - door online“"</t>
  </si>
  <si>
    <t>"„Find efficient Storage Freezers 2 - doors online“"</t>
  </si>
  <si>
    <t>Diagramm - Beschriftungen:</t>
  </si>
  <si>
    <t>Austria</t>
  </si>
  <si>
    <t>CH_DE</t>
  </si>
  <si>
    <t>CH_FR</t>
  </si>
  <si>
    <t>CH_IT</t>
  </si>
  <si>
    <t>Country-Selection</t>
  </si>
  <si>
    <t>"Finde effiziente Lager-Kühlschränke 2 - türig online"</t>
  </si>
  <si>
    <t>Lager-Kühlschränke 2 - türig</t>
  </si>
  <si>
    <t>"Finde effiziente Lager-Tiefkühlschränke 2 - türig online"</t>
  </si>
  <si>
    <t>"Finde effiziente Lager-Tiefkühlschränke 1 - türig online"</t>
  </si>
  <si>
    <t>http://www.pro-cold.eu/</t>
  </si>
  <si>
    <t>http://www.topprodukte.at/</t>
  </si>
  <si>
    <t>Kaufpreis</t>
  </si>
  <si>
    <t>"purchase price"</t>
  </si>
  <si>
    <t>Hilfsrechnung Kosten für Diagramm:</t>
  </si>
  <si>
    <t>Topprodukt</t>
  </si>
  <si>
    <t>Bestehendes Prod.</t>
  </si>
  <si>
    <t>Beschreibung:</t>
  </si>
  <si>
    <t>Description:</t>
  </si>
  <si>
    <t xml:space="preserve">
This is a SVERWEIS-database - here the tool faetches the necessary labels or units - which are country-dependent. For the English u. German-speaking countries, the labels have been defined. For the other remaining countries (eg Italy, France, etc.) always the English term was deposited under quotation marks in the database as a free variable parameter - these can be changed to the SVERWEIS-database to the correct language by the partner himself...</t>
  </si>
  <si>
    <t xml:space="preserve">
Dies ist die SVERWEIS-Datenbank - hier holt sich das Tool die benötigten Beschriftungen bzw. Einheiten - welche länderabhängig sind. Für die englisch u. deutssprachigen Länder sind die Bezeichungen schon festgelegt.
Für die anderen noch ausstehenen Länder (z.B. Iatlien, Frankreich, usw.) wurde als Platzhalter immer der englische Begriff unter Anführungszeichen in der Datenbank hinterlegt - dieser kann dann durch den jweiligen Partner selber in der SVERWEIS Datenbank auf die richtige Sprache umgeändert werden...</t>
  </si>
  <si>
    <t>Kurzbeschreibung:
Dieses Rechentool soll dem Einkäufer helfen, bei der Anschaffung neuer Kühl- und Gefriergeräte (vorwiegend im gewerblichen Bereich), Energie und Kosten zu sparen.
Es folgt nun eine kurze Schritt-für-Schritt-Anleitung:
Um einen Kostenvergleich zwischen den im Unternehmen bestehenden Kühlgeräten und den neu anzuschaffenden, energieeffizienten Geräten ermöglichen zu können, benötigt das Tool einige Inputdaten (grau hinterlegten Felder!)
1) Als erstes muss das jeweilige Land über das Dropdown-Menü ausgewählt werden (z.B. Austria) - damit wir automatisch die Sprache eingestellt
2) Auswählen des im Bestand vorhandenen Kühl- bzw. Gefriergeräts über das Dropdownmenü (z.B. Lager-Kühlgeräte Unterbau)
3) Länderabhängigen Stromtarif und CO2 Emissionsfaktor angeben (z.B. 0,44 kgCO2/kWh)
4) Angabe des Nettovolumens des jeweiligen Kühl- bzw. Gefriergeräts (z.B. 315 L) - auch mit dem Schieber möglich
5) Angabe des Jahresnergieverbauchs in [kWh/a] des Geräts (z.B. 1533 kWh/a) - auch mit dem Schieber möglich
6) Möglichkeit zur Eingabe mehrerer Produkte der selben Kategorie (z.B. 3x Lager-Kühlgerät Unterbau)
7) Eingabe der gesamten Nutzungdauer des Geräts (z.B. 8 Jahre)
8) Möglichkeit zur Angabe der Kaufpreise des bestehenden bzw. des neu anzuschaffenden Geräts (z.B. € 1.000,--  € bzw. 1200 €)
Mit diesen Angaben kann das Tool die Total Cost of Ownership berechnen und gibt das Ergebnis in der grün hinterlegten Zelle aus (dies wird auch in einem Diagramm veranschaulicht).
Auch die gesamte eingesparte Energie und die CO2 Emissionen bezogen auf die Nutzungdauer berechnet dieses Tool (grün hintelegte Zellen). Mithilfe des Tipplinks können Sie sofort für die ausgewählte Produktkategorie die effizientesten Geräte finden.</t>
  </si>
  <si>
    <t xml:space="preserve">
Short description:
This tool is designed to help the buyers to save on the purchase of new refrigerators and freezers (mainly in the commercial sector), energy and costs.
What follows is a short step by step guide:
To enable a cost comparison between the existing refrigerators and the new energy efficient devices  - the tool nees some input data (cells with gray background!)
1) The first thing is to select the right country with the help of a drop down menu (eg Austria) - so that the language can be set automatically
2) Select the existing refrigerator or freezer with the help of the dorp down menu (eg Storage Counter Refrigerators) 
3) Fill in the Country-specific tariff and CO2 emission factor (eg 0.44 kgCO2/kWh)
4) Fill in the nominal volume of the respective refrigerator or freezer (eg 315 L) - also possible with the slider
5) Add the anual energy consumption in [kWh/a] (eg 1533 kWh/a) - also possible with the slider
6) Possibility to enter several products of the same category (eg 3x Storage Counter Refrigerator)
7) Entering the service life of your device (eg 8 years)
8) Option to indicate the purchase prices of the existing and the new efficient device (eg € 1,000 - € or 1200 €)
With this information, the tool can calculate the total cost of ownership and gives out the result in the green highlighted cell (this is also illustrated in the graph). The total energy saved and the CO2 emissions related to the service life are also calculated by the tool (cells with green background). Using the tip-links, you can instantly find the most efficient devices for the selected product category
</t>
  </si>
  <si>
    <t xml:space="preserve">
"Short description:
This tool is designed to help the buyers to save on the purchase of new refrigerators and freezers (mainly in the commercial sector), energy and costs.
What follows is a short step by step guide:
To enable a cost comparison between the existing refrigerators and the new energy efficient devices  - the tool nees some input data (cells with gray background!)
1) The first thing is to select the right country with the help of a drop down menu (eg Austria) - so that the language can be set automatically
2) Select the existing refrigerator or freezer with the help of the dorp down menu (eg Storage Counter Refrigerators) 
3) Fill in the Country-specific tariff and CO2 emission factor (eg 0.44 kgCO2/kWh)
4) Fill in the nominal volume of the respective refrigerator or freezer (eg 315 L) - also possible with the slider
5) Add the anual energy consumption in [kWh/a] (eg 1533 kWh/a) - also possible with the slider
6) Possibility to enter several products of the same category (eg 3x Storage Counter Refrigerator)
7) Entering the service life of your device (eg 8 years)
8) Option to indicate the purchase prices of the existing and the new efficient device (eg € 1,000 - € or 1200 €)
With this information, the tool can calculate the total cost of ownership and gives out the result in the green highlighted cell (this is also illustrated in the graph). The total energy saved and the CO2 emissions related to the service life are also calculated by the tool (cells with green background). Using the tip-links, you can instantly find the most efficient devices for the selected product category"
</t>
  </si>
  <si>
    <t xml:space="preserve">Short description:
This tool is designed to help the buyers to save on the purchase of new refrigerators and freezers (mainly in the commercial sector), energy and costs.
What follows is a short step by step guide:
To enable a cost comparison between the existing refrigerators and the new energy efficient devices  - the tool nees some input data (cells with gray background!)
1) The first thing is to select the right country with the help of a drop down menu (eg Austria) - so that the language can be set automatically
2) Select the existing refrigerator or freezer with the help of the dorp down menu (eg Storage Counter Refrigerators) 
3) Fill in the Country-specific tariff and CO2 emission factor (eg 0.44 kgCO2/kWh)
4) Fill in the nominal volume of the respective refrigerator or freezer (eg 315 L) - also possible with the slider
5) Add the anual energy consumption in [kWh/a] (eg 1533 kWh/a) - also possible with the slider
6) Possibility to enter several products of the same category (eg 3x Storage Counter Refrigerator)
7) Entering the service life of your device (eg 8 years)
8) Option to indicate the purchase prices of the existing and the new efficient device (eg € 1,000 - € or 1200 €)
With this information, the tool can calculate the total cost of ownership and gives out the result in the green highlighted cell (this is also illustrated in the graph). The total energy saved and the CO2 emissions related to the service life are also calculated by the tool (cells with green background). Using the tip-links, you can instantly find the most efficient devices for the selected product category
</t>
  </si>
  <si>
    <t>Geräte</t>
  </si>
  <si>
    <t>http://www.pro-cold.eu/english/storage-refrigerators/storage-counter-refrigerators.html</t>
  </si>
  <si>
    <t>http://www.pro-cold.eu/english/storage-refrigerators/storage-refrigerators-1-door-2.html</t>
  </si>
  <si>
    <t>http://www.pro-cold.eu/english/storage-refrigerators/storage-refrigerators-2-doors-2.html</t>
  </si>
  <si>
    <t>http://www.pro-cold.eu/english/storage-freezers/storage-counter-freezers-2.html</t>
  </si>
  <si>
    <t>http://www.pro-cold.eu/english/storage-freezers/storage-freezers-1-door-2.html</t>
  </si>
  <si>
    <t>http://www.pro-cold.eu/english/storage-freezers/storage-freezers-2-doors-2.html</t>
  </si>
  <si>
    <t>http://www.topprodukte.at/de/Products-Lists/topproductscat1/188/topproductscat2/541/topproductscat3/542/topprodukte_sort_listing/x/topprodukte_sort_direction/x/topprodukte_how_many_ds/1.html</t>
  </si>
  <si>
    <t>http://www.topprodukte.at/de/Products-Lists/topproductscat1/188/topproductscat2/541/topproductscat3/543/topprodukte_sort_listing/x/topprodukte_sort_direction/x/topprodukte_how_many_ds/1.html</t>
  </si>
  <si>
    <t>http://www.topprodukte.at/de/Products-Lists/topproductscat1/188/topproductscat2/541/topproductscat3/544/topprodukte_sort_listing/x/topprodukte_sort_direction/x/topprodukte_how_many_ds/1.html</t>
  </si>
  <si>
    <t>http://www.topprodukte.at/de/Products-Lists/topproductscat1/188/topproductscat2/541/topproductscat3/546/topprodukte_sort_listing/x/topprodukte_sort_direction/x/topprodukte_how_many_ds/1.html</t>
  </si>
  <si>
    <t>http://www.topprodukte.at/de/Products-Lists/topproductscat1/188/topproductscat2/541/topproductscat3/547/topprodukte_sort_listing/x/topprodukte_sort_direction/x/topprodukte_how_many_ds/1.html</t>
  </si>
  <si>
    <t>http://www.topprodukte.at/de/Products-Lists/topproductscat1/188/topproductscat2/541/topproductscat3/548/topprodukte_sort_listing/x/topprodukte_sort_direction/x/topprodukte_how_many_ds/1.html</t>
  </si>
  <si>
    <t>Freezers</t>
  </si>
  <si>
    <t>Refrigerators</t>
  </si>
  <si>
    <r>
      <t xml:space="preserve">Tip-links: different languages - </t>
    </r>
    <r>
      <rPr>
        <b/>
        <sz val="10"/>
        <rFont val="Arial"/>
        <family val="2"/>
      </rPr>
      <t>1 door</t>
    </r>
  </si>
  <si>
    <r>
      <t xml:space="preserve">Tip-links: different languages - </t>
    </r>
    <r>
      <rPr>
        <b/>
        <sz val="10"/>
        <rFont val="Arial"/>
        <family val="2"/>
      </rPr>
      <t>counter</t>
    </r>
  </si>
  <si>
    <r>
      <t xml:space="preserve">Tip-links: different languages - </t>
    </r>
    <r>
      <rPr>
        <b/>
        <sz val="10"/>
        <rFont val="Arial"/>
        <family val="2"/>
      </rPr>
      <t>2 doors</t>
    </r>
  </si>
  <si>
    <r>
      <t>Tip-links: different languages -</t>
    </r>
    <r>
      <rPr>
        <b/>
        <sz val="10"/>
        <rFont val="Arial"/>
        <family val="2"/>
      </rPr>
      <t xml:space="preserve"> 2 doors</t>
    </r>
  </si>
  <si>
    <t>http://www.topten.ch/deutsch/gewerbegeraete/lager-kuehlgeraete/lager-kuehlschraenke-unterbau.html</t>
  </si>
  <si>
    <t>http://www.topten.ch/deutsch/gewerbegeraete/lager-kuehlgeraete/lager-kuehlschraenke-1-tuerig.html</t>
  </si>
  <si>
    <t>http://www.topten.ch/deutsch/gewerbegeraete/lager-kuehlgeraete/lager-kuehlschraenke-2-tuerig.html</t>
  </si>
  <si>
    <t>http://www.topten.ch/deutsch/gewerbegeraete/lager-gefriergeraete/lager-gefrierschraenke-unterbau.html</t>
  </si>
  <si>
    <t>http://www.topten.ch/deutsch/gewerbegeraete/lager-gefriergeraete/lager-gefrierschraenke-1-tuerig.html</t>
  </si>
  <si>
    <t>http://www.topten.ch/deutsch/gewerbegeraete/lager-gefriergeraete/lager-gefrierschraenke-2-tuerig.html</t>
  </si>
  <si>
    <t>http://www.topten.ch/francais/froids-professionnels/refrigerateurs-2/refrigerateur-sous-plan.html</t>
  </si>
  <si>
    <t>http://www.topten.ch/francais/froids-professionnels/refrigerateurs-2/refrigerateur-1-porte.html</t>
  </si>
  <si>
    <t>http://www.topten.ch/francais/froids-professionnels/refrigerateurs-2/refrigerateur-2-portes.html</t>
  </si>
  <si>
    <t>http://www.topten.ch/francais/froids-professionnels/congelateurs/congelateurs-sous-plan.html</t>
  </si>
  <si>
    <t>http://www.topten.ch/francais/froids-professionnels/congelateurs/congelateurs-1-porte.html</t>
  </si>
  <si>
    <t>http://www.topten.ch/francais/froids-professionnels/congelateurs/congelateurs-2-portes.html</t>
  </si>
  <si>
    <t>http://www.topten.ch/italiano/gastronomia/frigoriferi-per-la-ristorazione/frigoriferi-sottopiano.html</t>
  </si>
  <si>
    <t>http://www.topten.ch/italiano/gastronomia/frigoriferi-per-la-ristorazione/frigoriferi-a-1-porta.html</t>
  </si>
  <si>
    <t>http://www.topten.ch/italiano/gastronomia/frigoriferi-per-la-ristorazione/frigoriferi-a-2-porte.html</t>
  </si>
  <si>
    <t>http://www.topten.ch/italiano/gastronomia/congelatori-per-la-ristorazione/congelatori-sottopiano.html</t>
  </si>
  <si>
    <t>http://www.topten.ch/italiano/gastronomia/congelatori-per-la-ristorazione/congelatori-a-1-porta.html</t>
  </si>
  <si>
    <t>http://www.topten.ch/italiano/gastronomia/congelatori-per-la-ristorazione/congelatori-a-2-porte.html</t>
  </si>
  <si>
    <t>Input product data</t>
  </si>
  <si>
    <t>Input Produktdaten</t>
  </si>
  <si>
    <t>"Input product data"</t>
  </si>
  <si>
    <t>Annual Energy Consumption (AEC = TEC * 365)</t>
  </si>
  <si>
    <t>"Annual Energy Consumption (AEC = TEC * 365)"</t>
  </si>
  <si>
    <t>Jahresenergieverbrauch (AEC = TEC * 365)</t>
  </si>
  <si>
    <t>Your product</t>
  </si>
  <si>
    <t>Ihr Produkt</t>
  </si>
  <si>
    <t>"Your product"</t>
  </si>
  <si>
    <t>Top Produkt (Preis)</t>
  </si>
  <si>
    <t>"Top product (price)"</t>
  </si>
  <si>
    <t>Ihr Produkt (Preis)</t>
  </si>
  <si>
    <t>"Your product (price)"</t>
  </si>
  <si>
    <t>Top Produkt</t>
  </si>
  <si>
    <t>Ihr(e) Produkt(e)</t>
  </si>
  <si>
    <t>"Your product(s)"</t>
  </si>
  <si>
    <t>Vergleich zu dem/den Top Produkt(en) bezogen auf die Lebensdauer</t>
  </si>
  <si>
    <t>"Comparison to Top product(s) over life time"</t>
  </si>
  <si>
    <t>"total energy costs - Top product(s) vs. Actual product(s)"</t>
  </si>
  <si>
    <t>Gesamt Energiekosten - Topprodukt(e) vs. Bestehene(s) Produkt(e)</t>
  </si>
  <si>
    <t>Info:</t>
  </si>
  <si>
    <t xml:space="preserve">0,666 (gemäß Ecoinvent 3.01)
 </t>
  </si>
  <si>
    <t>Graue Emissionen</t>
  </si>
  <si>
    <t xml:space="preserve">kg CO2e/l </t>
  </si>
  <si>
    <t>Graue CO2 Emissionen</t>
  </si>
  <si>
    <t>Grey CO2 emissions</t>
  </si>
  <si>
    <t>"Grey CO2 emissions"</t>
  </si>
  <si>
    <t>"füge länderspezifischen Wert hier ein"</t>
  </si>
  <si>
    <t>"add country specific value here"</t>
  </si>
  <si>
    <t>Kaufpreis - Produkt(e)</t>
  </si>
  <si>
    <t>"purchase price - product(s)"</t>
  </si>
  <si>
    <r>
      <t xml:space="preserve">Calculation </t>
    </r>
    <r>
      <rPr>
        <sz val="10"/>
        <rFont val="Arial"/>
        <family val="2"/>
      </rPr>
      <t>s</t>
    </r>
    <r>
      <rPr>
        <sz val="10"/>
        <rFont val="Arial"/>
        <family val="2"/>
      </rPr>
      <t>ettings</t>
    </r>
  </si>
  <si>
    <t>Top product price</t>
  </si>
  <si>
    <t>Top Produkt Preis</t>
  </si>
  <si>
    <t>Your product price</t>
  </si>
  <si>
    <t>Ihr Produkt Preis</t>
  </si>
  <si>
    <r>
      <t xml:space="preserve">Anzahl </t>
    </r>
    <r>
      <rPr>
        <sz val="10"/>
        <rFont val="Arial"/>
        <family val="2"/>
      </rPr>
      <t>Geräte</t>
    </r>
  </si>
  <si>
    <t>Number of products</t>
  </si>
  <si>
    <r>
      <t>CO</t>
    </r>
    <r>
      <rPr>
        <vertAlign val="subscript"/>
        <sz val="10"/>
        <rFont val="Arial"/>
        <family val="2"/>
      </rPr>
      <t>2</t>
    </r>
    <r>
      <rPr>
        <sz val="10"/>
        <rFont val="Arial"/>
        <family val="2"/>
      </rPr>
      <t xml:space="preserve"> E</t>
    </r>
    <r>
      <rPr>
        <sz val="10"/>
        <rFont val="Arial"/>
        <family val="2"/>
      </rPr>
      <t>missonsfaktor</t>
    </r>
  </si>
  <si>
    <t>Default:</t>
  </si>
  <si>
    <t>0.20</t>
  </si>
  <si>
    <t>0.12</t>
  </si>
  <si>
    <t>Link</t>
  </si>
  <si>
    <t>Purchase price</t>
  </si>
  <si>
    <t>0.44</t>
  </si>
  <si>
    <t>Gesamtkosten Vergleich</t>
  </si>
  <si>
    <t>Product comparison over life time</t>
  </si>
  <si>
    <t>Produktvergleich bezogen auf die Lebensdauer</t>
  </si>
  <si>
    <t>Comparison of Total Costs</t>
  </si>
  <si>
    <t>€</t>
  </si>
  <si>
    <t>CHF</t>
  </si>
  <si>
    <t>SEK</t>
  </si>
  <si>
    <t>CZK</t>
  </si>
  <si>
    <t>years</t>
  </si>
  <si>
    <t>Jahre</t>
  </si>
  <si>
    <t>in €</t>
  </si>
  <si>
    <t>in SEK</t>
  </si>
  <si>
    <t>in CHF</t>
  </si>
  <si>
    <t>in CZK</t>
  </si>
  <si>
    <t>L</t>
  </si>
  <si>
    <t>kWh/a</t>
  </si>
  <si>
    <t>kWh</t>
  </si>
  <si>
    <t>t</t>
  </si>
  <si>
    <t>€/kWh</t>
  </si>
  <si>
    <t>SEK/kWh</t>
  </si>
  <si>
    <t>CZK/kWh</t>
  </si>
  <si>
    <t>CHF/kWh</t>
  </si>
  <si>
    <t>kg CO2/kWh</t>
  </si>
  <si>
    <r>
      <t xml:space="preserve">15 </t>
    </r>
    <r>
      <rPr>
        <sz val="10"/>
        <rFont val="Calibri"/>
        <family val="2"/>
      </rPr>
      <t>≤</t>
    </r>
    <r>
      <rPr>
        <sz val="11.5"/>
        <rFont val="Arial"/>
        <family val="2"/>
      </rPr>
      <t xml:space="preserve"> </t>
    </r>
    <r>
      <rPr>
        <sz val="10"/>
        <rFont val="Arial"/>
        <family val="2"/>
      </rPr>
      <t>EEI &lt; 20</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</si>
</sst>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sz val="10"/>
      <name val="Arial"/>
      <family val="2"/>
    </font>
    <font>
      <sz val="10"/>
      <name val="Arial"/>
      <family val="2"/>
    </font>
    <font>
      <b/>
      <sz val="10"/>
      <name val="Arial"/>
      <family val="2"/>
    </font>
    <font>
      <vertAlign val="subscript"/>
      <sz val="10"/>
      <name val="Arial"/>
      <family val="2"/>
    </font>
    <font>
      <sz val="10"/>
      <name val="Calibri"/>
      <family val="2"/>
    </font>
    <font>
      <sz val="11.5"/>
      <name val="Arial"/>
      <family val="2"/>
    </font>
    <font>
      <b/>
      <sz val="11"/>
      <name val="Arial"/>
      <family val="2"/>
    </font>
    <font>
      <sz val="8"/>
      <name val="Arial"/>
      <family val="2"/>
    </font>
    <font>
      <u/>
      <sz val="10"/>
      <color theme="10"/>
      <name val="Arial"/>
      <family val="2"/>
    </font>
    <font>
      <sz val="14"/>
      <color theme="1"/>
      <name val="Calibri"/>
      <family val="2"/>
      <scheme val="minor"/>
    </font>
    <font>
      <sz val="10"/>
      <name val="Arial"/>
      <family val="2"/>
    </font>
    <font>
      <u/>
      <sz val="10"/>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rgb="FF92D050"/>
        <bgColor indexed="64"/>
      </patternFill>
    </fill>
    <fill>
      <patternFill patternType="solid">
        <fgColor theme="2" tint="-0.249977111117893"/>
        <bgColor indexed="64"/>
      </patternFill>
    </fill>
    <fill>
      <patternFill patternType="solid">
        <fgColor theme="8" tint="0.39997558519241921"/>
        <bgColor indexed="64"/>
      </patternFill>
    </fill>
  </fills>
  <borders count="41">
    <border>
      <left/>
      <right/>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double">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medium">
        <color auto="1"/>
      </right>
      <top/>
      <bottom/>
      <diagonal/>
    </border>
    <border>
      <left style="medium">
        <color auto="1"/>
      </left>
      <right/>
      <top/>
      <bottom/>
      <diagonal/>
    </border>
    <border>
      <left/>
      <right/>
      <top style="thin">
        <color auto="1"/>
      </top>
      <bottom style="thin">
        <color auto="1"/>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thin">
        <color auto="1"/>
      </left>
      <right/>
      <top style="thin">
        <color auto="1"/>
      </top>
      <bottom style="thin">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thin">
        <color auto="1"/>
      </top>
      <bottom style="thin">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medium">
        <color auto="1"/>
      </top>
      <bottom/>
      <diagonal/>
    </border>
    <border>
      <left style="medium">
        <color auto="1"/>
      </left>
      <right/>
      <top style="thin">
        <color auto="1"/>
      </top>
      <bottom/>
      <diagonal/>
    </border>
    <border>
      <left style="medium">
        <color auto="1"/>
      </left>
      <right style="medium">
        <color auto="1"/>
      </right>
      <top style="medium">
        <color auto="1"/>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right style="thin">
        <color auto="1"/>
      </right>
      <top style="medium">
        <color auto="1"/>
      </top>
      <bottom/>
      <diagonal/>
    </border>
    <border>
      <left/>
      <right/>
      <top style="medium">
        <color auto="1"/>
      </top>
      <bottom style="medium">
        <color auto="1"/>
      </bottom>
      <diagonal/>
    </border>
    <border>
      <left style="medium">
        <color auto="1"/>
      </left>
      <right style="medium">
        <color auto="1"/>
      </right>
      <top/>
      <bottom style="medium">
        <color auto="1"/>
      </bottom>
      <diagonal/>
    </border>
  </borders>
  <cellStyleXfs count="6">
    <xf numFmtId="0" fontId="0" fillId="0" borderId="0"/>
    <xf numFmtId="0" fontId="9" fillId="0" borderId="0" applyNumberFormat="0" applyFill="0" applyBorder="0" applyAlignment="0" applyProtection="0"/>
    <xf numFmtId="0" fontId="10" fillId="0" borderId="0"/>
    <xf numFmtId="0" fontId="1" fillId="0" borderId="0"/>
    <xf numFmtId="0" fontId="1" fillId="0" borderId="0"/>
    <xf numFmtId="0" fontId="1" fillId="0" borderId="0"/>
  </cellStyleXfs>
  <cellXfs count="193">
    <xf numFmtId="0" fontId="0" fillId="0" borderId="0" xfId="0" applyProtection="1">
      <protection locked="0"/>
    </xf>
    <xf numFmtId="0" fontId="0" fillId="0" borderId="3" xfId="0" applyBorder="1" applyProtection="1">
      <protection locked="0"/>
    </xf>
    <xf numFmtId="0" fontId="0" fillId="0" borderId="0"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7" xfId="0" applyBorder="1" applyProtection="1">
      <protection locked="0"/>
    </xf>
    <xf numFmtId="0" fontId="0" fillId="0" borderId="9" xfId="0" applyBorder="1" applyProtection="1">
      <protection locked="0"/>
    </xf>
    <xf numFmtId="0" fontId="2" fillId="0" borderId="0" xfId="0" applyFont="1" applyProtection="1">
      <protection locked="0"/>
    </xf>
    <xf numFmtId="0" fontId="2" fillId="0" borderId="0" xfId="0" applyFont="1" applyBorder="1" applyProtection="1">
      <protection locked="0"/>
    </xf>
    <xf numFmtId="0" fontId="2" fillId="0" borderId="9" xfId="0" applyFont="1" applyBorder="1" applyProtection="1">
      <protection locked="0"/>
    </xf>
    <xf numFmtId="0" fontId="2" fillId="0" borderId="2" xfId="0" applyFont="1" applyBorder="1" applyProtection="1">
      <protection locked="0"/>
    </xf>
    <xf numFmtId="0" fontId="3" fillId="0" borderId="0" xfId="0" applyFont="1" applyProtection="1">
      <protection locked="0"/>
    </xf>
    <xf numFmtId="0" fontId="3" fillId="0" borderId="0"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0" fillId="2" borderId="0" xfId="0" applyFill="1" applyBorder="1" applyProtection="1">
      <protection locked="0"/>
    </xf>
    <xf numFmtId="1" fontId="0" fillId="0" borderId="0" xfId="0" applyNumberFormat="1" applyBorder="1" applyProtection="1">
      <protection locked="0"/>
    </xf>
    <xf numFmtId="0" fontId="0" fillId="0" borderId="0" xfId="0" applyFill="1" applyBorder="1" applyProtection="1">
      <protection locked="0"/>
    </xf>
    <xf numFmtId="0" fontId="2" fillId="0" borderId="3" xfId="0" applyFont="1" applyBorder="1" applyProtection="1">
      <protection locked="0"/>
    </xf>
    <xf numFmtId="0" fontId="2" fillId="0" borderId="0"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0" fillId="0" borderId="10" xfId="0" applyBorder="1" applyProtection="1">
      <protection locked="0"/>
    </xf>
    <xf numFmtId="0" fontId="2" fillId="0" borderId="7" xfId="0" applyFont="1" applyBorder="1" applyAlignment="1" applyProtection="1">
      <alignment horizontal="center"/>
      <protection locked="0"/>
    </xf>
    <xf numFmtId="0" fontId="0" fillId="0" borderId="12" xfId="0" applyBorder="1" applyProtection="1">
      <protection locked="0"/>
    </xf>
    <xf numFmtId="0" fontId="0" fillId="2" borderId="14" xfId="0" applyFill="1" applyBorder="1" applyProtection="1">
      <protection locked="0"/>
    </xf>
    <xf numFmtId="0" fontId="0" fillId="2" borderId="15" xfId="0" applyFill="1" applyBorder="1" applyProtection="1">
      <protection locked="0"/>
    </xf>
    <xf numFmtId="0" fontId="2" fillId="2" borderId="15"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0" fillId="2" borderId="1" xfId="0" applyFill="1" applyBorder="1" applyProtection="1">
      <protection locked="0"/>
    </xf>
    <xf numFmtId="0" fontId="0" fillId="2" borderId="6" xfId="0" applyFill="1" applyBorder="1" applyProtection="1">
      <protection locked="0"/>
    </xf>
    <xf numFmtId="0" fontId="0" fillId="2" borderId="16" xfId="0" applyFill="1" applyBorder="1" applyProtection="1">
      <protection locked="0"/>
    </xf>
    <xf numFmtId="0" fontId="0" fillId="2" borderId="17" xfId="0" applyFill="1" applyBorder="1" applyProtection="1">
      <protection locked="0"/>
    </xf>
    <xf numFmtId="0" fontId="0" fillId="2" borderId="18" xfId="0" applyFill="1" applyBorder="1" applyProtection="1">
      <protection locked="0"/>
    </xf>
    <xf numFmtId="0" fontId="0" fillId="2" borderId="19" xfId="0" applyFill="1" applyBorder="1" applyProtection="1">
      <protection locked="0"/>
    </xf>
    <xf numFmtId="0" fontId="0" fillId="2" borderId="20" xfId="0" applyFill="1" applyBorder="1" applyProtection="1">
      <protection locked="0"/>
    </xf>
    <xf numFmtId="0" fontId="3" fillId="2" borderId="21" xfId="0" applyFont="1" applyFill="1" applyBorder="1" applyProtection="1">
      <protection locked="0"/>
    </xf>
    <xf numFmtId="0" fontId="1" fillId="2" borderId="22" xfId="0" applyFont="1" applyFill="1" applyBorder="1" applyProtection="1">
      <protection locked="0"/>
    </xf>
    <xf numFmtId="0" fontId="1" fillId="0" borderId="0" xfId="0" applyFont="1" applyProtection="1">
      <protection locked="0"/>
    </xf>
    <xf numFmtId="0" fontId="1" fillId="0" borderId="0" xfId="0" applyFont="1" applyBorder="1" applyProtection="1">
      <protection locked="0"/>
    </xf>
    <xf numFmtId="0" fontId="1" fillId="0" borderId="3" xfId="0" applyFont="1" applyBorder="1" applyProtection="1">
      <protection locked="0"/>
    </xf>
    <xf numFmtId="0" fontId="1" fillId="0" borderId="5" xfId="0" applyFont="1" applyBorder="1" applyProtection="1">
      <protection locked="0"/>
    </xf>
    <xf numFmtId="0" fontId="1" fillId="0" borderId="12" xfId="0" applyFont="1" applyBorder="1" applyProtection="1">
      <protection locked="0"/>
    </xf>
    <xf numFmtId="0" fontId="1" fillId="0" borderId="13" xfId="0" applyFont="1" applyBorder="1" applyProtection="1">
      <protection locked="0"/>
    </xf>
    <xf numFmtId="0" fontId="2" fillId="0" borderId="0" xfId="0" applyFont="1" applyBorder="1" applyAlignment="1" applyProtection="1">
      <protection locked="0"/>
    </xf>
    <xf numFmtId="0" fontId="0" fillId="0" borderId="0" xfId="0" applyBorder="1" applyAlignment="1" applyProtection="1">
      <protection locked="0"/>
    </xf>
    <xf numFmtId="0" fontId="1" fillId="0" borderId="0" xfId="0" applyFont="1" applyBorder="1" applyAlignment="1" applyProtection="1">
      <protection locked="0"/>
    </xf>
    <xf numFmtId="0" fontId="0" fillId="0" borderId="0" xfId="0"/>
    <xf numFmtId="0" fontId="0" fillId="2" borderId="24" xfId="0" applyFill="1" applyBorder="1" applyAlignment="1" applyProtection="1">
      <alignment horizontal="left"/>
      <protection locked="0"/>
    </xf>
    <xf numFmtId="0" fontId="0" fillId="2" borderId="4" xfId="0" applyFill="1" applyBorder="1" applyAlignment="1" applyProtection="1">
      <alignment horizontal="left"/>
      <protection locked="0"/>
    </xf>
    <xf numFmtId="1" fontId="0" fillId="2" borderId="3" xfId="0" applyNumberFormat="1" applyFill="1" applyBorder="1" applyAlignment="1" applyProtection="1">
      <alignment horizontal="right"/>
      <protection locked="0"/>
    </xf>
    <xf numFmtId="0" fontId="0" fillId="2" borderId="0" xfId="0" applyFill="1" applyBorder="1" applyAlignment="1" applyProtection="1">
      <alignment horizontal="left"/>
      <protection locked="0"/>
    </xf>
    <xf numFmtId="0" fontId="0" fillId="2" borderId="25" xfId="0" applyFill="1" applyBorder="1" applyProtection="1">
      <protection locked="0"/>
    </xf>
    <xf numFmtId="0" fontId="0" fillId="2" borderId="26" xfId="0" applyFill="1" applyBorder="1" applyProtection="1">
      <protection locked="0"/>
    </xf>
    <xf numFmtId="0" fontId="0" fillId="2" borderId="0" xfId="0" applyFill="1" applyBorder="1" applyAlignment="1" applyProtection="1">
      <alignment horizontal="right"/>
      <protection locked="0"/>
    </xf>
    <xf numFmtId="0" fontId="0" fillId="2" borderId="9" xfId="0" applyFill="1" applyBorder="1" applyAlignment="1" applyProtection="1">
      <alignment horizontal="right"/>
      <protection locked="0"/>
    </xf>
    <xf numFmtId="0" fontId="0" fillId="2" borderId="2" xfId="0" applyFill="1" applyBorder="1" applyAlignment="1" applyProtection="1">
      <alignment horizontal="left"/>
      <protection locked="0"/>
    </xf>
    <xf numFmtId="1" fontId="0" fillId="2" borderId="9" xfId="0" applyNumberFormat="1" applyFill="1" applyBorder="1" applyAlignment="1" applyProtection="1">
      <alignment horizontal="right"/>
      <protection locked="0"/>
    </xf>
    <xf numFmtId="0" fontId="0" fillId="2" borderId="27" xfId="0" applyFill="1" applyBorder="1" applyProtection="1">
      <protection locked="0"/>
    </xf>
    <xf numFmtId="0" fontId="1" fillId="0" borderId="0" xfId="0" applyFont="1" applyAlignment="1" applyProtection="1">
      <alignment wrapText="1"/>
      <protection locked="0"/>
    </xf>
    <xf numFmtId="0" fontId="3" fillId="3" borderId="28" xfId="0" applyFont="1" applyFill="1" applyBorder="1" applyAlignment="1" applyProtection="1">
      <alignment horizontal="left"/>
      <protection locked="0"/>
    </xf>
    <xf numFmtId="1" fontId="3" fillId="3" borderId="21" xfId="0" applyNumberFormat="1" applyFont="1" applyFill="1" applyBorder="1" applyAlignment="1" applyProtection="1">
      <alignment horizontal="right"/>
      <protection locked="0"/>
    </xf>
    <xf numFmtId="0" fontId="1" fillId="0" borderId="0" xfId="0" applyFont="1" applyFill="1" applyProtection="1">
      <protection locked="0"/>
    </xf>
    <xf numFmtId="0" fontId="3" fillId="0" borderId="3" xfId="0" applyFont="1" applyBorder="1" applyProtection="1">
      <protection locked="0"/>
    </xf>
    <xf numFmtId="0" fontId="3" fillId="0" borderId="0" xfId="0" applyFont="1" applyBorder="1" applyProtection="1">
      <protection locked="0"/>
    </xf>
    <xf numFmtId="0" fontId="1" fillId="0" borderId="0" xfId="0" applyFont="1" applyBorder="1" applyAlignment="1" applyProtection="1">
      <alignment vertical="top" wrapText="1"/>
      <protection locked="0"/>
    </xf>
    <xf numFmtId="0" fontId="0" fillId="0" borderId="6" xfId="0" applyBorder="1" applyAlignment="1" applyProtection="1">
      <alignment horizontal="center"/>
      <protection locked="0"/>
    </xf>
    <xf numFmtId="0" fontId="0" fillId="0" borderId="0" xfId="0" applyBorder="1" applyAlignment="1" applyProtection="1">
      <alignment horizontal="center"/>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2" fillId="0" borderId="6" xfId="0" applyFont="1" applyBorder="1" applyAlignment="1" applyProtection="1">
      <alignment horizontal="center"/>
      <protection locked="0"/>
    </xf>
    <xf numFmtId="0" fontId="1" fillId="0" borderId="22" xfId="0" applyFont="1" applyBorder="1" applyProtection="1">
      <protection locked="0"/>
    </xf>
    <xf numFmtId="0" fontId="1" fillId="0" borderId="29" xfId="0" applyFont="1" applyBorder="1" applyProtection="1">
      <protection locked="0"/>
    </xf>
    <xf numFmtId="0" fontId="1" fillId="0" borderId="24" xfId="0" applyFont="1" applyBorder="1" applyProtection="1">
      <protection locked="0"/>
    </xf>
    <xf numFmtId="0" fontId="0" fillId="0" borderId="30" xfId="0" applyBorder="1" applyProtection="1">
      <protection locked="0"/>
    </xf>
    <xf numFmtId="0" fontId="0" fillId="0" borderId="12" xfId="0" applyBorder="1"/>
    <xf numFmtId="0" fontId="0" fillId="2" borderId="31" xfId="0" applyFill="1" applyBorder="1" applyProtection="1">
      <protection locked="0"/>
    </xf>
    <xf numFmtId="0" fontId="1" fillId="4" borderId="32" xfId="0" applyFont="1" applyFill="1" applyBorder="1" applyProtection="1">
      <protection locked="0"/>
    </xf>
    <xf numFmtId="0" fontId="0" fillId="2" borderId="6" xfId="0" applyFill="1" applyBorder="1" applyAlignment="1" applyProtection="1">
      <alignment horizontal="right"/>
      <protection locked="0"/>
    </xf>
    <xf numFmtId="0" fontId="1" fillId="4" borderId="32" xfId="0" applyFont="1" applyFill="1" applyBorder="1" applyAlignment="1" applyProtection="1">
      <alignment horizontal="right" vertical="center"/>
      <protection locked="0"/>
    </xf>
    <xf numFmtId="0" fontId="0" fillId="2" borderId="33" xfId="0" applyFill="1" applyBorder="1" applyAlignment="1" applyProtection="1">
      <alignment horizontal="left"/>
      <protection locked="0"/>
    </xf>
    <xf numFmtId="0" fontId="0" fillId="2" borderId="9" xfId="0" applyFill="1" applyBorder="1" applyProtection="1">
      <protection locked="0"/>
    </xf>
    <xf numFmtId="0" fontId="0" fillId="2" borderId="34" xfId="0" applyFill="1" applyBorder="1" applyProtection="1">
      <protection locked="0"/>
    </xf>
    <xf numFmtId="49" fontId="1" fillId="0" borderId="0" xfId="0" applyNumberFormat="1" applyFont="1" applyAlignment="1" applyProtection="1">
      <alignment horizontal="left"/>
      <protection locked="0"/>
    </xf>
    <xf numFmtId="49" fontId="1" fillId="0" borderId="0" xfId="0" applyNumberFormat="1" applyFont="1" applyAlignment="1" applyProtection="1">
      <alignment horizontal="left" wrapText="1"/>
      <protection locked="0"/>
    </xf>
    <xf numFmtId="0" fontId="0" fillId="2" borderId="0"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2" borderId="6" xfId="0" applyFill="1" applyBorder="1" applyAlignment="1" applyProtection="1">
      <protection locked="0"/>
    </xf>
    <xf numFmtId="0" fontId="0" fillId="2" borderId="19" xfId="0" applyFill="1" applyBorder="1" applyAlignment="1" applyProtection="1">
      <protection locked="0"/>
    </xf>
    <xf numFmtId="2" fontId="0" fillId="2" borderId="1" xfId="0" applyNumberFormat="1" applyFill="1" applyBorder="1" applyAlignment="1" applyProtection="1">
      <alignment horizontal="right"/>
      <protection locked="0"/>
    </xf>
    <xf numFmtId="2" fontId="0" fillId="2" borderId="0" xfId="0" applyNumberFormat="1" applyFill="1" applyBorder="1" applyAlignment="1" applyProtection="1">
      <alignment horizontal="right"/>
      <protection locked="0"/>
    </xf>
    <xf numFmtId="0" fontId="0" fillId="2" borderId="18" xfId="0"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xf numFmtId="0" fontId="0" fillId="2" borderId="29" xfId="0" applyFill="1" applyBorder="1" applyAlignment="1" applyProtection="1">
      <alignment horizontal="left"/>
      <protection locked="0"/>
    </xf>
    <xf numFmtId="0" fontId="1" fillId="2" borderId="25" xfId="0" applyFont="1" applyFill="1" applyBorder="1" applyAlignment="1" applyProtection="1">
      <protection locked="0"/>
    </xf>
    <xf numFmtId="0" fontId="2" fillId="2" borderId="26" xfId="0" applyFont="1" applyFill="1" applyBorder="1" applyAlignment="1" applyProtection="1">
      <alignment vertical="center"/>
      <protection locked="0"/>
    </xf>
    <xf numFmtId="0" fontId="2" fillId="2" borderId="26" xfId="0" applyFont="1" applyFill="1" applyBorder="1" applyAlignment="1" applyProtection="1">
      <alignment horizontal="left"/>
      <protection locked="0"/>
    </xf>
    <xf numFmtId="0" fontId="1" fillId="4" borderId="36" xfId="0" applyFont="1" applyFill="1" applyBorder="1" applyProtection="1">
      <protection locked="0"/>
    </xf>
    <xf numFmtId="0" fontId="0" fillId="2" borderId="26" xfId="0" applyFill="1" applyBorder="1" applyAlignment="1" applyProtection="1">
      <alignment horizontal="left"/>
      <protection locked="0"/>
    </xf>
    <xf numFmtId="0" fontId="0" fillId="2" borderId="37" xfId="0" applyFill="1" applyBorder="1" applyProtection="1">
      <protection locked="0"/>
    </xf>
    <xf numFmtId="0" fontId="0" fillId="0" borderId="0" xfId="0" applyFont="1" applyProtection="1">
      <protection locked="0"/>
    </xf>
    <xf numFmtId="0" fontId="0" fillId="0" borderId="0" xfId="0" applyFont="1" applyBorder="1" applyProtection="1">
      <protection locked="0"/>
    </xf>
    <xf numFmtId="49" fontId="0" fillId="0" borderId="0" xfId="0" quotePrefix="1" applyNumberFormat="1" applyFont="1" applyAlignment="1" applyProtection="1">
      <alignment horizontal="left"/>
      <protection locked="0"/>
    </xf>
    <xf numFmtId="49" fontId="0" fillId="0" borderId="0" xfId="0" applyNumberFormat="1" applyFont="1" applyAlignment="1" applyProtection="1">
      <alignment horizontal="left"/>
      <protection locked="0"/>
    </xf>
    <xf numFmtId="0" fontId="0" fillId="0" borderId="0" xfId="0" applyFont="1" applyFill="1" applyProtection="1">
      <protection locked="0"/>
    </xf>
    <xf numFmtId="0" fontId="1" fillId="2" borderId="38" xfId="0" applyFont="1" applyFill="1" applyBorder="1" applyProtection="1">
      <protection locked="0"/>
    </xf>
    <xf numFmtId="1" fontId="0" fillId="2" borderId="9" xfId="0" applyNumberFormat="1" applyFill="1" applyBorder="1" applyProtection="1">
      <protection locked="0"/>
    </xf>
    <xf numFmtId="0" fontId="0" fillId="2" borderId="2" xfId="0" applyFill="1" applyBorder="1" applyProtection="1">
      <protection locked="0"/>
    </xf>
    <xf numFmtId="1" fontId="0" fillId="2" borderId="5" xfId="0" applyNumberFormat="1" applyFill="1" applyBorder="1" applyProtection="1">
      <protection locked="0"/>
    </xf>
    <xf numFmtId="0" fontId="0" fillId="2" borderId="7" xfId="0" applyFill="1" applyBorder="1" applyProtection="1">
      <protection locked="0"/>
    </xf>
    <xf numFmtId="0" fontId="3" fillId="2" borderId="0" xfId="0" applyFont="1" applyFill="1" applyBorder="1" applyProtection="1">
      <protection locked="0"/>
    </xf>
    <xf numFmtId="1" fontId="3" fillId="2" borderId="21" xfId="0" applyNumberFormat="1" applyFont="1" applyFill="1" applyBorder="1" applyAlignment="1" applyProtection="1">
      <alignment horizontal="right"/>
      <protection locked="0"/>
    </xf>
    <xf numFmtId="0" fontId="3" fillId="2" borderId="28" xfId="0" applyFont="1" applyFill="1" applyBorder="1" applyAlignment="1" applyProtection="1">
      <alignment horizontal="left"/>
      <protection locked="0"/>
    </xf>
    <xf numFmtId="2" fontId="3" fillId="3" borderId="21" xfId="0" applyNumberFormat="1" applyFont="1" applyFill="1" applyBorder="1" applyAlignment="1" applyProtection="1">
      <alignment horizontal="right"/>
      <protection locked="0"/>
    </xf>
    <xf numFmtId="0" fontId="1" fillId="4" borderId="32" xfId="0" applyFont="1" applyFill="1" applyBorder="1" applyAlignment="1" applyProtection="1">
      <alignment horizontal="right"/>
      <protection locked="0"/>
    </xf>
    <xf numFmtId="0" fontId="0" fillId="2" borderId="2" xfId="0" applyFont="1" applyFill="1" applyBorder="1" applyAlignment="1" applyProtection="1">
      <alignment horizontal="left"/>
      <protection locked="0"/>
    </xf>
    <xf numFmtId="0" fontId="0" fillId="2" borderId="17" xfId="0" applyFont="1" applyFill="1" applyBorder="1" applyAlignment="1" applyProtection="1">
      <alignment horizontal="left"/>
      <protection locked="0"/>
    </xf>
    <xf numFmtId="0" fontId="0" fillId="2" borderId="14" xfId="0" applyFont="1" applyFill="1" applyBorder="1" applyAlignment="1" applyProtection="1">
      <alignment horizontal="left"/>
      <protection locked="0"/>
    </xf>
    <xf numFmtId="0" fontId="0" fillId="2" borderId="33" xfId="0" applyFont="1" applyFill="1" applyBorder="1" applyAlignment="1" applyProtection="1">
      <alignment horizontal="left"/>
      <protection locked="0"/>
    </xf>
    <xf numFmtId="0" fontId="0" fillId="2" borderId="6" xfId="0" applyFont="1" applyFill="1" applyBorder="1" applyAlignment="1" applyProtection="1">
      <alignment horizontal="left"/>
      <protection locked="0"/>
    </xf>
    <xf numFmtId="0" fontId="3" fillId="3" borderId="11" xfId="0" applyFont="1" applyFill="1" applyBorder="1" applyAlignment="1" applyProtection="1">
      <alignment horizontal="center"/>
      <protection locked="0"/>
    </xf>
    <xf numFmtId="0" fontId="3" fillId="3" borderId="13" xfId="0" applyFont="1" applyFill="1" applyBorder="1" applyAlignment="1" applyProtection="1">
      <alignment horizontal="center"/>
      <protection locked="0"/>
    </xf>
    <xf numFmtId="0" fontId="11" fillId="0" borderId="0" xfId="0" applyFont="1" applyProtection="1">
      <protection locked="0"/>
    </xf>
    <xf numFmtId="0" fontId="11" fillId="0" borderId="0" xfId="0" applyFont="1" applyBorder="1" applyProtection="1">
      <protection locked="0"/>
    </xf>
    <xf numFmtId="0" fontId="11" fillId="0" borderId="4" xfId="0" applyFont="1" applyBorder="1" applyProtection="1">
      <protection locked="0"/>
    </xf>
    <xf numFmtId="1" fontId="11" fillId="0" borderId="0" xfId="0" applyNumberFormat="1" applyFont="1" applyBorder="1" applyProtection="1">
      <protection locked="0"/>
    </xf>
    <xf numFmtId="0" fontId="11" fillId="0" borderId="11" xfId="0" applyFont="1" applyBorder="1" applyProtection="1">
      <protection locked="0"/>
    </xf>
    <xf numFmtId="0" fontId="11" fillId="0" borderId="1" xfId="0" applyFont="1" applyBorder="1" applyProtection="1">
      <protection locked="0"/>
    </xf>
    <xf numFmtId="0" fontId="11" fillId="0" borderId="2" xfId="0" applyFont="1" applyBorder="1" applyProtection="1">
      <protection locked="0"/>
    </xf>
    <xf numFmtId="0" fontId="11" fillId="0" borderId="8" xfId="0" applyFont="1" applyBorder="1" applyProtection="1">
      <protection locked="0"/>
    </xf>
    <xf numFmtId="0" fontId="11" fillId="0" borderId="35" xfId="0" applyFont="1" applyBorder="1" applyProtection="1">
      <protection locked="0"/>
    </xf>
    <xf numFmtId="0" fontId="11" fillId="0" borderId="23" xfId="0" applyFont="1" applyBorder="1" applyProtection="1">
      <protection locked="0"/>
    </xf>
    <xf numFmtId="0" fontId="11" fillId="0" borderId="3" xfId="0" applyFont="1" applyBorder="1" applyProtection="1">
      <protection locked="0"/>
    </xf>
    <xf numFmtId="0" fontId="11" fillId="0" borderId="12" xfId="0" applyFont="1" applyBorder="1" applyProtection="1">
      <protection locked="0"/>
    </xf>
    <xf numFmtId="0" fontId="12" fillId="0" borderId="4" xfId="1" applyFont="1" applyBorder="1" applyProtection="1">
      <protection locked="0"/>
    </xf>
    <xf numFmtId="0" fontId="11" fillId="0" borderId="5" xfId="0" applyFont="1" applyBorder="1" applyProtection="1">
      <protection locked="0"/>
    </xf>
    <xf numFmtId="0" fontId="11" fillId="0" borderId="7" xfId="0" applyFont="1" applyBorder="1" applyProtection="1">
      <protection locked="0"/>
    </xf>
    <xf numFmtId="0" fontId="11" fillId="0" borderId="13" xfId="0" applyFont="1" applyBorder="1" applyProtection="1">
      <protection locked="0"/>
    </xf>
    <xf numFmtId="0" fontId="11" fillId="0" borderId="9" xfId="0" applyFont="1" applyBorder="1" applyProtection="1">
      <protection locked="0"/>
    </xf>
    <xf numFmtId="0" fontId="11" fillId="0" borderId="6" xfId="0" applyFont="1" applyBorder="1" applyProtection="1">
      <protection locked="0"/>
    </xf>
    <xf numFmtId="0" fontId="3" fillId="0" borderId="39" xfId="0" applyFont="1" applyBorder="1" applyAlignment="1" applyProtection="1">
      <alignment horizontal="center"/>
      <protection locked="0"/>
    </xf>
    <xf numFmtId="0" fontId="3" fillId="0" borderId="28" xfId="0" applyFont="1" applyBorder="1" applyAlignment="1" applyProtection="1">
      <alignment horizontal="center"/>
      <protection locked="0"/>
    </xf>
    <xf numFmtId="0" fontId="3" fillId="0" borderId="21" xfId="0" applyFont="1" applyBorder="1" applyAlignment="1" applyProtection="1">
      <alignment horizontal="center"/>
      <protection locked="0"/>
    </xf>
    <xf numFmtId="0" fontId="1" fillId="0" borderId="3"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0" fillId="0" borderId="0" xfId="0" applyAlignment="1" applyProtection="1">
      <alignment horizontal="left" vertical="top"/>
      <protection locked="0"/>
    </xf>
    <xf numFmtId="0" fontId="8" fillId="0" borderId="25" xfId="0" applyFont="1" applyBorder="1" applyAlignment="1" applyProtection="1">
      <alignment horizontal="left" wrapText="1"/>
      <protection locked="0"/>
    </xf>
    <xf numFmtId="0" fontId="8" fillId="0" borderId="26" xfId="0" applyFont="1" applyBorder="1" applyAlignment="1" applyProtection="1">
      <alignment horizontal="left" wrapText="1"/>
      <protection locked="0"/>
    </xf>
    <xf numFmtId="0" fontId="8" fillId="0" borderId="37" xfId="0" applyFont="1" applyBorder="1" applyAlignment="1" applyProtection="1">
      <alignment horizontal="left" wrapText="1"/>
      <protection locked="0"/>
    </xf>
    <xf numFmtId="0" fontId="8" fillId="0" borderId="15" xfId="0" applyFont="1" applyBorder="1" applyAlignment="1" applyProtection="1">
      <alignment horizontal="left" wrapText="1"/>
      <protection locked="0"/>
    </xf>
    <xf numFmtId="0" fontId="8" fillId="0" borderId="0" xfId="0" applyFont="1" applyBorder="1" applyAlignment="1" applyProtection="1">
      <alignment horizontal="left" wrapText="1"/>
      <protection locked="0"/>
    </xf>
    <xf numFmtId="0" fontId="8" fillId="0" borderId="14" xfId="0" applyFont="1" applyBorder="1" applyAlignment="1" applyProtection="1">
      <alignment horizontal="left" wrapText="1"/>
      <protection locked="0"/>
    </xf>
    <xf numFmtId="0" fontId="8" fillId="0" borderId="22" xfId="0" applyFont="1" applyBorder="1" applyAlignment="1" applyProtection="1">
      <alignment horizontal="left" wrapText="1"/>
      <protection locked="0"/>
    </xf>
    <xf numFmtId="0" fontId="8" fillId="0" borderId="29" xfId="0" applyFont="1" applyBorder="1" applyAlignment="1" applyProtection="1">
      <alignment horizontal="left" wrapText="1"/>
      <protection locked="0"/>
    </xf>
    <xf numFmtId="0" fontId="8" fillId="0" borderId="24" xfId="0" applyFont="1" applyBorder="1" applyAlignment="1" applyProtection="1">
      <alignment horizontal="left" wrapText="1"/>
      <protection locked="0"/>
    </xf>
    <xf numFmtId="0" fontId="0" fillId="0" borderId="0" xfId="0" applyBorder="1" applyAlignment="1" applyProtection="1">
      <alignment horizontal="center"/>
      <protection locked="0"/>
    </xf>
    <xf numFmtId="0" fontId="0" fillId="2" borderId="31" xfId="0" applyFill="1" applyBorder="1" applyAlignment="1" applyProtection="1">
      <alignment horizontal="left" vertical="center"/>
      <protection locked="0"/>
    </xf>
    <xf numFmtId="0" fontId="0" fillId="2" borderId="18" xfId="0" applyFill="1" applyBorder="1" applyAlignment="1" applyProtection="1">
      <alignment horizontal="left" vertical="center"/>
      <protection locked="0"/>
    </xf>
    <xf numFmtId="0" fontId="1" fillId="4" borderId="36" xfId="0" applyFont="1" applyFill="1" applyBorder="1" applyAlignment="1" applyProtection="1">
      <alignment horizontal="right" vertical="center"/>
      <protection locked="0"/>
    </xf>
    <xf numFmtId="0" fontId="1" fillId="4" borderId="40" xfId="0" applyFont="1" applyFill="1" applyBorder="1" applyAlignment="1" applyProtection="1">
      <alignment horizontal="right" vertical="center"/>
      <protection locked="0"/>
    </xf>
    <xf numFmtId="0" fontId="0" fillId="2" borderId="1" xfId="0" applyFont="1"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xf numFmtId="0" fontId="1" fillId="2" borderId="31" xfId="0" applyFont="1" applyFill="1" applyBorder="1" applyAlignment="1" applyProtection="1">
      <alignment horizontal="left" vertical="center"/>
      <protection locked="0"/>
    </xf>
    <xf numFmtId="0" fontId="1" fillId="0" borderId="0" xfId="0" applyFont="1" applyBorder="1" applyAlignment="1" applyProtection="1">
      <alignment horizontal="left" vertical="top" wrapText="1"/>
      <protection locked="0"/>
    </xf>
    <xf numFmtId="0" fontId="0" fillId="4" borderId="21" xfId="0" applyFill="1" applyBorder="1" applyAlignment="1" applyProtection="1">
      <alignment horizontal="center"/>
      <protection locked="0"/>
    </xf>
    <xf numFmtId="0" fontId="0" fillId="4" borderId="39" xfId="0" applyFill="1" applyBorder="1" applyAlignment="1" applyProtection="1">
      <alignment horizontal="center"/>
      <protection locked="0"/>
    </xf>
    <xf numFmtId="0" fontId="0" fillId="4" borderId="28" xfId="0" applyFill="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7" fillId="5" borderId="18" xfId="0" applyFont="1" applyFill="1" applyBorder="1" applyAlignment="1" applyProtection="1">
      <alignment horizontal="left"/>
      <protection locked="0"/>
    </xf>
    <xf numFmtId="0" fontId="7" fillId="5" borderId="6" xfId="0" applyFont="1" applyFill="1" applyBorder="1" applyAlignment="1" applyProtection="1">
      <alignment horizontal="left"/>
      <protection locked="0"/>
    </xf>
    <xf numFmtId="0" fontId="7" fillId="5" borderId="0" xfId="0" applyFont="1" applyFill="1" applyBorder="1" applyAlignment="1" applyProtection="1">
      <alignment horizontal="left"/>
      <protection locked="0"/>
    </xf>
    <xf numFmtId="0" fontId="7" fillId="5" borderId="19" xfId="0" applyFont="1" applyFill="1" applyBorder="1" applyAlignment="1" applyProtection="1">
      <alignment horizontal="left"/>
      <protection locked="0"/>
    </xf>
    <xf numFmtId="0" fontId="7" fillId="5" borderId="25" xfId="0" applyFont="1" applyFill="1" applyBorder="1" applyAlignment="1" applyProtection="1">
      <alignment horizontal="left"/>
      <protection locked="0"/>
    </xf>
    <xf numFmtId="0" fontId="7" fillId="5" borderId="26" xfId="0" applyFont="1" applyFill="1" applyBorder="1" applyAlignment="1" applyProtection="1">
      <alignment horizontal="left"/>
      <protection locked="0"/>
    </xf>
    <xf numFmtId="0" fontId="7" fillId="5" borderId="37" xfId="0" applyFont="1" applyFill="1" applyBorder="1" applyAlignment="1" applyProtection="1">
      <alignment horizontal="left"/>
      <protection locked="0"/>
    </xf>
    <xf numFmtId="0" fontId="9" fillId="2" borderId="29" xfId="1" applyFill="1" applyBorder="1" applyAlignment="1" applyProtection="1">
      <alignment horizontal="left"/>
      <protection locked="0"/>
    </xf>
    <xf numFmtId="0" fontId="0" fillId="2" borderId="29" xfId="0" applyFill="1" applyBorder="1" applyAlignment="1" applyProtection="1">
      <alignment horizontal="left"/>
      <protection locked="0"/>
    </xf>
    <xf numFmtId="0" fontId="11" fillId="0" borderId="0" xfId="0" applyFont="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2" borderId="23" xfId="0" applyFill="1" applyBorder="1" applyAlignment="1" applyProtection="1">
      <alignment horizontal="center"/>
      <protection locked="0"/>
    </xf>
    <xf numFmtId="0" fontId="0" fillId="2" borderId="35" xfId="0" applyFill="1" applyBorder="1" applyAlignment="1" applyProtection="1">
      <alignment horizontal="center"/>
      <protection locked="0"/>
    </xf>
    <xf numFmtId="0" fontId="0" fillId="2" borderId="1" xfId="0" applyFill="1" applyBorder="1" applyAlignment="1" applyProtection="1">
      <alignment horizontal="left" vertical="center"/>
      <protection locked="0"/>
    </xf>
    <xf numFmtId="0" fontId="1" fillId="2" borderId="1" xfId="0" applyFont="1" applyFill="1" applyBorder="1" applyAlignment="1" applyProtection="1">
      <alignment horizontal="left" vertical="center"/>
      <protection locked="0"/>
    </xf>
    <xf numFmtId="0" fontId="7" fillId="5" borderId="20" xfId="0" applyFont="1" applyFill="1" applyBorder="1" applyAlignment="1" applyProtection="1">
      <alignment horizontal="left"/>
      <protection locked="0"/>
    </xf>
    <xf numFmtId="0" fontId="7" fillId="5" borderId="16" xfId="0" applyFont="1" applyFill="1" applyBorder="1" applyAlignment="1" applyProtection="1">
      <alignment horizontal="left"/>
      <protection locked="0"/>
    </xf>
    <xf numFmtId="0" fontId="7" fillId="5" borderId="27" xfId="0" applyFont="1" applyFill="1" applyBorder="1" applyAlignment="1" applyProtection="1">
      <alignment horizontal="left"/>
      <protection locked="0"/>
    </xf>
    <xf numFmtId="0" fontId="0" fillId="2" borderId="27" xfId="0" applyFill="1" applyBorder="1" applyAlignment="1" applyProtection="1">
      <alignment horizontal="center"/>
      <protection locked="0"/>
    </xf>
    <xf numFmtId="0" fontId="2" fillId="0" borderId="0" xfId="0" applyFont="1" applyBorder="1" applyAlignment="1" applyProtection="1">
      <alignment horizontal="center"/>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0" fillId="0" borderId="6" xfId="0" applyBorder="1" applyAlignment="1" applyProtection="1">
      <alignment horizontal="center"/>
      <protection locked="0"/>
    </xf>
  </cellXfs>
  <cellStyles count="6">
    <cellStyle name="Hyperlink" xfId="1" builtinId="8"/>
    <cellStyle name="Standard" xfId="0" builtinId="0"/>
    <cellStyle name="Standard 2" xfId="2"/>
    <cellStyle name="Standard 3" xfId="3"/>
    <cellStyle name="Standard 4" xfId="4"/>
    <cellStyle name="Standard 5"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ProCold_Calculator!$P$38</c:f>
          <c:strCache>
            <c:ptCount val="1"/>
            <c:pt idx="0">
              <c:v>Comparison of Total Costs</c:v>
            </c:pt>
          </c:strCache>
        </c:strRef>
      </c:tx>
      <c:layout/>
      <c:overlay val="0"/>
      <c:spPr>
        <a:noFill/>
        <a:ln w="25400">
          <a:noFill/>
        </a:ln>
      </c:spPr>
    </c:title>
    <c:autoTitleDeleted val="0"/>
    <c:plotArea>
      <c:layout>
        <c:manualLayout>
          <c:layoutTarget val="inner"/>
          <c:xMode val="edge"/>
          <c:yMode val="edge"/>
          <c:x val="0.24614358723357599"/>
          <c:y val="0.21206644782063799"/>
          <c:w val="0.66673089087279502"/>
          <c:h val="0.691819459417225"/>
        </c:manualLayout>
      </c:layout>
      <c:barChart>
        <c:barDir val="col"/>
        <c:grouping val="stacked"/>
        <c:varyColors val="0"/>
        <c:ser>
          <c:idx val="0"/>
          <c:order val="0"/>
          <c:tx>
            <c:strRef>
              <c:f>ProCold_Calculator!$L$57</c:f>
              <c:strCache>
                <c:ptCount val="1"/>
                <c:pt idx="0">
                  <c:v>Purchase price</c:v>
                </c:pt>
              </c:strCache>
            </c:strRef>
          </c:tx>
          <c:spPr>
            <a:solidFill>
              <a:srgbClr val="4F81BD"/>
            </a:solidFill>
            <a:ln w="25400">
              <a:noFill/>
            </a:ln>
          </c:spPr>
          <c:invertIfNegative val="0"/>
          <c:cat>
            <c:strRef>
              <c:f>ProCold_Calculator!$M$56:$N$56</c:f>
              <c:strCache>
                <c:ptCount val="2"/>
                <c:pt idx="0">
                  <c:v>Your product</c:v>
                </c:pt>
                <c:pt idx="1">
                  <c:v>Top product</c:v>
                </c:pt>
              </c:strCache>
            </c:strRef>
          </c:cat>
          <c:val>
            <c:numRef>
              <c:f>ProCold_Calculator!$M$57:$N$57</c:f>
              <c:numCache>
                <c:formatCode>General</c:formatCode>
                <c:ptCount val="2"/>
                <c:pt idx="0">
                  <c:v>2000</c:v>
                </c:pt>
                <c:pt idx="1">
                  <c:v>2500</c:v>
                </c:pt>
              </c:numCache>
            </c:numRef>
          </c:val>
        </c:ser>
        <c:ser>
          <c:idx val="1"/>
          <c:order val="1"/>
          <c:tx>
            <c:strRef>
              <c:f>ProCold_Calculator!$L$58</c:f>
              <c:strCache>
                <c:ptCount val="1"/>
                <c:pt idx="0">
                  <c:v>Energy costs</c:v>
                </c:pt>
              </c:strCache>
            </c:strRef>
          </c:tx>
          <c:spPr>
            <a:solidFill>
              <a:srgbClr val="C0504D"/>
            </a:solidFill>
            <a:ln w="25400">
              <a:noFill/>
            </a:ln>
          </c:spPr>
          <c:invertIfNegative val="0"/>
          <c:cat>
            <c:strRef>
              <c:f>ProCold_Calculator!$M$56:$N$56</c:f>
              <c:strCache>
                <c:ptCount val="2"/>
                <c:pt idx="0">
                  <c:v>Your product</c:v>
                </c:pt>
                <c:pt idx="1">
                  <c:v>Top product</c:v>
                </c:pt>
              </c:strCache>
            </c:strRef>
          </c:cat>
          <c:val>
            <c:numRef>
              <c:f>ProCold_Calculator!$M$58:$N$58</c:f>
              <c:numCache>
                <c:formatCode>0</c:formatCode>
                <c:ptCount val="2"/>
                <c:pt idx="0">
                  <c:v>2587.2000000000003</c:v>
                </c:pt>
                <c:pt idx="1">
                  <c:v>1127.407968</c:v>
                </c:pt>
              </c:numCache>
            </c:numRef>
          </c:val>
        </c:ser>
        <c:dLbls>
          <c:showLegendKey val="0"/>
          <c:showVal val="0"/>
          <c:showCatName val="0"/>
          <c:showSerName val="0"/>
          <c:showPercent val="0"/>
          <c:showBubbleSize val="0"/>
        </c:dLbls>
        <c:gapWidth val="55"/>
        <c:overlap val="100"/>
        <c:axId val="103893632"/>
        <c:axId val="103900672"/>
      </c:barChart>
      <c:catAx>
        <c:axId val="103893632"/>
        <c:scaling>
          <c:orientation val="minMax"/>
        </c:scaling>
        <c:delete val="0"/>
        <c:axPos val="b"/>
        <c:numFmt formatCode="General" sourceLinked="1"/>
        <c:majorTickMark val="none"/>
        <c:minorTickMark val="none"/>
        <c:tickLblPos val="nextTo"/>
        <c:spPr>
          <a:ln w="3175">
            <a:solidFill>
              <a:srgbClr val="808080"/>
            </a:solidFill>
            <a:prstDash val="solid"/>
          </a:ln>
        </c:spPr>
        <c:crossAx val="103900672"/>
        <c:crosses val="autoZero"/>
        <c:auto val="1"/>
        <c:lblAlgn val="ctr"/>
        <c:lblOffset val="100"/>
        <c:noMultiLvlLbl val="0"/>
      </c:catAx>
      <c:valAx>
        <c:axId val="103900672"/>
        <c:scaling>
          <c:orientation val="minMax"/>
        </c:scaling>
        <c:delete val="0"/>
        <c:axPos val="l"/>
        <c:majorGridlines>
          <c:spPr>
            <a:ln w="3175">
              <a:solidFill>
                <a:srgbClr val="808080"/>
              </a:solidFill>
              <a:prstDash val="solid"/>
            </a:ln>
          </c:spPr>
        </c:majorGridlines>
        <c:title>
          <c:tx>
            <c:strRef>
              <c:f>ProCold_Calculator!$P$39</c:f>
              <c:strCache>
                <c:ptCount val="1"/>
                <c:pt idx="0">
                  <c:v>in €</c:v>
                </c:pt>
              </c:strCache>
            </c:strRef>
          </c:tx>
          <c:layout>
            <c:manualLayout>
              <c:xMode val="edge"/>
              <c:yMode val="edge"/>
              <c:x val="4.9851433665131499E-2"/>
              <c:y val="0.50373393004158695"/>
            </c:manualLayout>
          </c:layout>
          <c:overlay val="0"/>
          <c:spPr>
            <a:noFill/>
            <a:ln w="25400">
              <a:noFill/>
            </a:ln>
          </c:spPr>
          <c:txPr>
            <a:bodyPr rot="-5400000" vert="horz"/>
            <a:lstStyle/>
            <a:p>
              <a:pPr>
                <a:defRPr/>
              </a:pPr>
              <a:endParaRPr lang="de-DE"/>
            </a:p>
          </c:txPr>
        </c:title>
        <c:numFmt formatCode="General" sourceLinked="1"/>
        <c:majorTickMark val="none"/>
        <c:minorTickMark val="none"/>
        <c:tickLblPos val="nextTo"/>
        <c:spPr>
          <a:ln w="3175">
            <a:solidFill>
              <a:srgbClr val="808080"/>
            </a:solidFill>
            <a:prstDash val="solid"/>
          </a:ln>
        </c:spPr>
        <c:crossAx val="103893632"/>
        <c:crosses val="autoZero"/>
        <c:crossBetween val="between"/>
      </c:valAx>
      <c:spPr>
        <a:solidFill>
          <a:srgbClr val="FFFFFF"/>
        </a:solidFill>
        <a:ln w="25400">
          <a:noFill/>
        </a:ln>
      </c:spPr>
    </c:plotArea>
    <c:legend>
      <c:legendPos val="b"/>
      <c:layout>
        <c:manualLayout>
          <c:xMode val="edge"/>
          <c:yMode val="edge"/>
          <c:x val="0.17829502355616"/>
          <c:y val="0.14041745730550301"/>
          <c:w val="0.65891639140320002"/>
          <c:h val="5.5028462998102497E-2"/>
        </c:manualLayout>
      </c:layout>
      <c:overlay val="0"/>
      <c:spPr>
        <a:noFill/>
        <a:ln w="25400">
          <a:noFill/>
        </a:ln>
      </c:spPr>
    </c:legend>
    <c:plotVisOnly val="0"/>
    <c:dispBlanksAs val="gap"/>
    <c:showDLblsOverMax val="0"/>
  </c:chart>
  <c:spPr>
    <a:solidFill>
      <a:srgbClr val="FFFFFF"/>
    </a:solidFill>
    <a:ln w="3175">
      <a:solidFill>
        <a:srgbClr val="808080"/>
      </a:solidFill>
      <a:prstDash val="solid"/>
    </a:ln>
  </c:spPr>
  <c:txPr>
    <a:bodyPr/>
    <a:lstStyle/>
    <a:p>
      <a:pPr>
        <a:defRPr sz="1200" b="0" i="0" u="none" strike="noStrike" baseline="0">
          <a:solidFill>
            <a:srgbClr val="000000"/>
          </a:solidFill>
          <a:latin typeface="Calibri"/>
          <a:ea typeface="Calibri"/>
          <a:cs typeface="Calibri"/>
        </a:defRPr>
      </a:pPr>
      <a:endParaRPr lang="de-DE"/>
    </a:p>
  </c:txPr>
  <c:printSettings>
    <c:headerFooter alignWithMargins="0"/>
    <c:pageMargins b="0.78740157499999996" l="0.7" r="0.7" t="0.78740157499999996" header="0.3" footer="0.3"/>
    <c:pageSetup/>
  </c:printSettings>
</c:chartSpace>
</file>

<file path=xl/ctrlProps/ctrlProp1.xml><?xml version="1.0" encoding="utf-8"?>
<formControlPr xmlns="http://schemas.microsoft.com/office/spreadsheetml/2009/9/main" objectType="Scroll" dx="16" fmlaLink="$Z$13" horiz="1" max="1000" page="10" val="608"/>
</file>

<file path=xl/ctrlProps/ctrlProp2.xml><?xml version="1.0" encoding="utf-8"?>
<formControlPr xmlns="http://schemas.microsoft.com/office/spreadsheetml/2009/9/main" objectType="Scroll" dx="16" fmlaLink="$Z$15" horiz="1" max="2000" page="10" val="1617"/>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333375</xdr:colOff>
          <xdr:row>12</xdr:row>
          <xdr:rowOff>28575</xdr:rowOff>
        </xdr:from>
        <xdr:to>
          <xdr:col>29</xdr:col>
          <xdr:colOff>447675</xdr:colOff>
          <xdr:row>13</xdr:row>
          <xdr:rowOff>142875</xdr:rowOff>
        </xdr:to>
        <xdr:sp macro="" textlink="">
          <xdr:nvSpPr>
            <xdr:cNvPr id="1028" name="Scroll Bar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333375</xdr:colOff>
          <xdr:row>14</xdr:row>
          <xdr:rowOff>28575</xdr:rowOff>
        </xdr:from>
        <xdr:to>
          <xdr:col>29</xdr:col>
          <xdr:colOff>428625</xdr:colOff>
          <xdr:row>15</xdr:row>
          <xdr:rowOff>142875</xdr:rowOff>
        </xdr:to>
        <xdr:sp macro="" textlink="">
          <xdr:nvSpPr>
            <xdr:cNvPr id="1030" name="Scroll Bar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xdr:twoCellAnchor>
    <xdr:from>
      <xdr:col>31</xdr:col>
      <xdr:colOff>57150</xdr:colOff>
      <xdr:row>1</xdr:row>
      <xdr:rowOff>161925</xdr:rowOff>
    </xdr:from>
    <xdr:to>
      <xdr:col>35</xdr:col>
      <xdr:colOff>695325</xdr:colOff>
      <xdr:row>32</xdr:row>
      <xdr:rowOff>38100</xdr:rowOff>
    </xdr:to>
    <xdr:graphicFrame macro="">
      <xdr:nvGraphicFramePr>
        <xdr:cNvPr id="1928"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enableFormatConditionsCalculation="0">
    <pageSetUpPr fitToPage="1"/>
  </sheetPr>
  <dimension ref="E2:CR320"/>
  <sheetViews>
    <sheetView showGridLines="0" tabSelected="1" topLeftCell="V1" zoomScale="125" zoomScaleNormal="125" zoomScalePageLayoutView="125" workbookViewId="0">
      <selection activeCell="Z11" sqref="Z11:AC11"/>
    </sheetView>
  </sheetViews>
  <sheetFormatPr baseColWidth="10" defaultRowHeight="12.75" x14ac:dyDescent="0.2"/>
  <cols>
    <col min="1" max="10" width="0" hidden="1" customWidth="1"/>
    <col min="11" max="11" width="11.42578125" hidden="1" customWidth="1"/>
    <col min="12" max="12" width="25.42578125" hidden="1" customWidth="1"/>
    <col min="13" max="13" width="29.140625" hidden="1" customWidth="1"/>
    <col min="14" max="14" width="23" hidden="1" customWidth="1"/>
    <col min="15" max="15" width="11.42578125" hidden="1" customWidth="1"/>
    <col min="16" max="16" width="50.42578125" hidden="1" customWidth="1"/>
    <col min="17" max="17" width="16" hidden="1" customWidth="1"/>
    <col min="18" max="18" width="168.42578125" hidden="1" customWidth="1"/>
    <col min="19" max="19" width="14" hidden="1" customWidth="1"/>
    <col min="20" max="20" width="12.42578125" hidden="1" customWidth="1"/>
    <col min="21" max="21" width="17" hidden="1" customWidth="1"/>
    <col min="22" max="22" width="9" customWidth="1"/>
    <col min="23" max="23" width="41.140625" customWidth="1"/>
    <col min="24" max="24" width="10.28515625" customWidth="1"/>
    <col min="25" max="25" width="8" customWidth="1"/>
    <col min="26" max="26" width="8.42578125" customWidth="1"/>
    <col min="27" max="27" width="13.140625" customWidth="1"/>
    <col min="28" max="28" width="8.42578125" customWidth="1"/>
    <col min="29" max="29" width="11.28515625" customWidth="1"/>
    <col min="30" max="31" width="10.42578125" customWidth="1"/>
    <col min="36" max="38" width="11.42578125" customWidth="1"/>
    <col min="39" max="39" width="15.42578125" style="1" hidden="1" customWidth="1"/>
    <col min="40" max="40" width="24.42578125" hidden="1" customWidth="1"/>
    <col min="41" max="41" width="22.42578125" hidden="1" customWidth="1"/>
    <col min="42" max="42" width="17.140625" hidden="1" customWidth="1"/>
    <col min="43" max="43" width="16.42578125" hidden="1" customWidth="1"/>
    <col min="44" max="44" width="17.85546875" hidden="1" customWidth="1"/>
    <col min="45" max="45" width="26.42578125" hidden="1" customWidth="1"/>
    <col min="46" max="46" width="24.140625" hidden="1" customWidth="1"/>
    <col min="47" max="47" width="13.28515625" hidden="1" customWidth="1"/>
    <col min="48" max="48" width="15.28515625" hidden="1" customWidth="1"/>
    <col min="49" max="49" width="14.85546875" hidden="1" customWidth="1"/>
    <col min="50" max="50" width="17.7109375" hidden="1" customWidth="1"/>
    <col min="51" max="51" width="23" hidden="1" customWidth="1"/>
    <col min="52" max="52" width="20.42578125" hidden="1" customWidth="1"/>
    <col min="53" max="53" width="21.85546875" hidden="1" customWidth="1"/>
    <col min="54" max="54" width="21.28515625" hidden="1" customWidth="1"/>
    <col min="55" max="55" width="20.7109375" hidden="1" customWidth="1"/>
    <col min="56" max="56" width="35.85546875" hidden="1" customWidth="1"/>
    <col min="57" max="57" width="22.7109375" hidden="1" customWidth="1"/>
    <col min="58" max="58" width="27.85546875" hidden="1" customWidth="1"/>
    <col min="59" max="59" width="27.42578125" hidden="1" customWidth="1"/>
    <col min="60" max="60" width="77.42578125" hidden="1" customWidth="1"/>
    <col min="61" max="61" width="27.28515625" hidden="1" customWidth="1"/>
    <col min="62" max="62" width="27.140625" hidden="1" customWidth="1"/>
    <col min="63" max="63" width="28.140625" hidden="1" customWidth="1"/>
    <col min="64" max="64" width="25.85546875" hidden="1" customWidth="1"/>
    <col min="65" max="66" width="26" hidden="1" customWidth="1"/>
    <col min="67" max="70" width="11.42578125" hidden="1" customWidth="1"/>
    <col min="71" max="71" width="13" hidden="1" customWidth="1"/>
    <col min="72" max="72" width="33.42578125" hidden="1" customWidth="1"/>
    <col min="73" max="73" width="43.140625" hidden="1" customWidth="1"/>
    <col min="74" max="74" width="45.28515625" hidden="1" customWidth="1"/>
    <col min="75" max="75" width="43.7109375" hidden="1" customWidth="1"/>
    <col min="76" max="76" width="44.7109375" hidden="1" customWidth="1"/>
    <col min="77" max="77" width="47.42578125" hidden="1" customWidth="1"/>
    <col min="78" max="79" width="46.42578125" hidden="1" customWidth="1"/>
    <col min="80" max="80" width="50.42578125" hidden="1" customWidth="1"/>
    <col min="81" max="81" width="11.42578125" hidden="1" customWidth="1"/>
    <col min="82" max="82" width="23" hidden="1" customWidth="1"/>
    <col min="83" max="83" width="14.42578125" hidden="1" customWidth="1"/>
    <col min="84" max="84" width="81" hidden="1" customWidth="1"/>
    <col min="85" max="85" width="72.42578125" hidden="1" customWidth="1"/>
    <col min="86" max="86" width="73" hidden="1" customWidth="1"/>
    <col min="87" max="87" width="74" hidden="1" customWidth="1"/>
    <col min="88" max="88" width="67.42578125" hidden="1" customWidth="1"/>
    <col min="89" max="89" width="66.42578125" hidden="1" customWidth="1"/>
    <col min="90" max="90" width="67.42578125" hidden="1" customWidth="1"/>
    <col min="91" max="91" width="27.28515625" hidden="1" customWidth="1"/>
    <col min="92" max="92" width="18.85546875" hidden="1" customWidth="1"/>
    <col min="93" max="93" width="18" hidden="1" customWidth="1"/>
    <col min="94" max="94" width="33.42578125" hidden="1" customWidth="1"/>
    <col min="95" max="95" width="20.7109375" hidden="1" customWidth="1"/>
    <col min="96" max="96" width="10.85546875" hidden="1" customWidth="1"/>
    <col min="97" max="117" width="0" hidden="1" customWidth="1"/>
  </cols>
  <sheetData>
    <row r="2" spans="5:54" ht="13.5" thickBot="1" x14ac:dyDescent="0.25">
      <c r="L2" s="166" t="s">
        <v>29</v>
      </c>
      <c r="M2" s="166"/>
      <c r="N2" s="166"/>
      <c r="O2" s="166"/>
      <c r="P2" s="166"/>
      <c r="Q2" s="166"/>
      <c r="R2" s="166"/>
      <c r="S2" s="167"/>
      <c r="V2" s="11"/>
    </row>
    <row r="3" spans="5:54" hidden="1" x14ac:dyDescent="0.2">
      <c r="L3" s="12"/>
      <c r="M3" s="12"/>
      <c r="N3" s="12"/>
      <c r="O3" s="12"/>
      <c r="P3" s="12"/>
      <c r="Q3" s="12"/>
      <c r="R3" s="12"/>
      <c r="S3" s="13"/>
      <c r="W3" s="92" t="s">
        <v>199</v>
      </c>
      <c r="X3" s="93"/>
      <c r="Y3" s="94"/>
      <c r="Z3" s="95" t="s">
        <v>172</v>
      </c>
      <c r="AA3" s="96"/>
      <c r="AB3" s="93"/>
      <c r="AC3" s="51"/>
      <c r="AD3" s="51"/>
      <c r="AE3" s="97"/>
      <c r="AN3" s="2"/>
      <c r="AO3" s="2"/>
      <c r="AP3" s="2"/>
    </row>
    <row r="4" spans="5:54" ht="15" x14ac:dyDescent="0.25">
      <c r="L4" s="16"/>
      <c r="M4" s="2"/>
      <c r="N4" s="2"/>
      <c r="O4" s="16"/>
      <c r="P4" s="2"/>
      <c r="Q4" s="2"/>
      <c r="R4" s="2"/>
      <c r="S4" s="3"/>
      <c r="W4" s="173" t="str">
        <f>VLOOKUP(Z3,AM54:BH64,20,FALSE)</f>
        <v>Professional Storage Cabinets</v>
      </c>
      <c r="X4" s="174"/>
      <c r="Y4" s="174"/>
      <c r="Z4" s="174"/>
      <c r="AA4" s="174"/>
      <c r="AB4" s="174"/>
      <c r="AC4" s="174"/>
      <c r="AD4" s="174"/>
      <c r="AE4" s="175"/>
      <c r="AM4" s="17"/>
      <c r="AN4" s="62"/>
      <c r="AO4" s="2"/>
      <c r="AP4" s="2"/>
      <c r="AR4" s="62"/>
    </row>
    <row r="5" spans="5:54" x14ac:dyDescent="0.2">
      <c r="L5" s="37"/>
      <c r="M5" s="2"/>
      <c r="N5" s="2"/>
      <c r="O5" s="2"/>
      <c r="P5" s="2"/>
      <c r="Q5" s="2"/>
      <c r="R5" s="2"/>
      <c r="S5" s="3"/>
      <c r="W5" s="25"/>
      <c r="X5" s="26"/>
      <c r="Y5" s="26"/>
      <c r="Z5" s="26"/>
      <c r="AA5" s="26"/>
      <c r="AB5" s="14"/>
      <c r="AC5" s="14"/>
      <c r="AD5" s="14"/>
      <c r="AE5" s="23"/>
      <c r="AM5" s="61"/>
      <c r="AN5" s="162"/>
      <c r="AO5" s="142"/>
      <c r="AP5" s="142"/>
      <c r="AR5" s="143"/>
      <c r="AS5" s="144"/>
      <c r="AT5" s="144"/>
    </row>
    <row r="6" spans="5:54" ht="15.75" thickBot="1" x14ac:dyDescent="0.3">
      <c r="L6" s="2"/>
      <c r="M6" s="2"/>
      <c r="N6" s="2"/>
      <c r="O6" s="2"/>
      <c r="P6" s="2"/>
      <c r="Q6" s="2"/>
      <c r="R6" s="2"/>
      <c r="S6" s="3"/>
      <c r="V6" s="2"/>
      <c r="W6" s="169" t="str">
        <f>VLOOKUP(Z3,AM54:BD64,13,FALSE)</f>
        <v>Calculation settings</v>
      </c>
      <c r="X6" s="170"/>
      <c r="Y6" s="170"/>
      <c r="Z6" s="171"/>
      <c r="AA6" s="170"/>
      <c r="AB6" s="170"/>
      <c r="AC6" s="170"/>
      <c r="AD6" s="170"/>
      <c r="AE6" s="172"/>
      <c r="AN6" s="2"/>
      <c r="AO6" s="2"/>
      <c r="AP6" s="2"/>
    </row>
    <row r="7" spans="5:54" ht="12.75" customHeight="1" thickBot="1" x14ac:dyDescent="0.25">
      <c r="L7" s="2"/>
      <c r="M7" s="2"/>
      <c r="N7" s="2"/>
      <c r="O7" s="2"/>
      <c r="P7" s="2"/>
      <c r="Q7" s="2"/>
      <c r="R7" s="2"/>
      <c r="S7" s="3"/>
      <c r="V7" s="2"/>
      <c r="W7" s="24" t="str">
        <f>VLOOKUP(Z3,AM54:BD64,4,FALSE)</f>
        <v>Electricity tariff</v>
      </c>
      <c r="X7" s="14"/>
      <c r="Y7" s="14"/>
      <c r="Z7" s="75">
        <v>0.2</v>
      </c>
      <c r="AA7" s="49" t="str">
        <f>VLOOKUP(Z3,AM54:BQ64,29,FALSE)</f>
        <v>€/kWh</v>
      </c>
      <c r="AB7" s="52" t="str">
        <f>VLOOKUP(Z3,AM54:BS64,33,FALSE)</f>
        <v>Default:</v>
      </c>
      <c r="AC7" s="14" t="str">
        <f>VLOOKUP(Z3,AM54:BT64,34,FALSE)</f>
        <v>0.20</v>
      </c>
      <c r="AD7" s="14"/>
      <c r="AE7" s="23"/>
      <c r="AN7" s="2"/>
      <c r="AO7" s="2"/>
      <c r="AP7" s="2"/>
      <c r="AZ7" s="2"/>
    </row>
    <row r="8" spans="5:54" ht="13.5" thickBot="1" x14ac:dyDescent="0.25">
      <c r="L8" s="2"/>
      <c r="M8" s="2"/>
      <c r="N8" s="2"/>
      <c r="O8" s="2"/>
      <c r="P8" s="2"/>
      <c r="Q8" s="2"/>
      <c r="R8" s="2"/>
      <c r="S8" s="3"/>
      <c r="V8" s="2"/>
      <c r="W8" s="31" t="str">
        <f>VLOOKUP(Z3,AM54:BE64,19,FALSE)</f>
        <v>CO2 emission factor</v>
      </c>
      <c r="X8" s="28"/>
      <c r="Y8" s="28"/>
      <c r="Z8" s="112">
        <v>0.44</v>
      </c>
      <c r="AA8" s="117" t="s">
        <v>323</v>
      </c>
      <c r="AB8" s="76" t="str">
        <f>VLOOKUP(Z3,AM54:BS64,33,FALSE)</f>
        <v>Default:</v>
      </c>
      <c r="AC8" s="28" t="str">
        <f>VLOOKUP(Z3,AM54:CP64,56,FALSE)</f>
        <v>0.44</v>
      </c>
      <c r="AD8" s="28"/>
      <c r="AE8" s="32"/>
      <c r="AN8" s="2"/>
      <c r="AO8" s="2"/>
      <c r="AP8" s="2"/>
      <c r="AZ8" s="8"/>
      <c r="BA8" s="7"/>
      <c r="BB8" s="7"/>
    </row>
    <row r="9" spans="5:54" ht="12.75" customHeight="1" x14ac:dyDescent="0.2">
      <c r="L9" s="2"/>
      <c r="M9" s="2"/>
      <c r="N9" s="2"/>
      <c r="O9" s="2"/>
      <c r="P9" s="2"/>
      <c r="Q9" s="2"/>
      <c r="R9" s="2"/>
      <c r="S9" s="3"/>
      <c r="V9" s="2"/>
      <c r="W9" s="33"/>
      <c r="X9" s="29"/>
      <c r="Y9" s="29"/>
      <c r="Z9" s="76"/>
      <c r="AA9" s="29"/>
      <c r="AB9" s="29"/>
      <c r="AC9" s="29"/>
      <c r="AD9" s="29"/>
      <c r="AE9" s="56"/>
      <c r="AN9" s="2"/>
      <c r="AO9" s="2"/>
      <c r="AP9" s="2"/>
      <c r="AZ9" s="8"/>
      <c r="BA9" s="7"/>
      <c r="BB9" s="7"/>
    </row>
    <row r="10" spans="5:54" ht="15" customHeight="1" thickBot="1" x14ac:dyDescent="0.3">
      <c r="L10" s="2"/>
      <c r="M10" s="2"/>
      <c r="N10" s="2"/>
      <c r="O10" s="2"/>
      <c r="P10" s="2"/>
      <c r="Q10" s="2"/>
      <c r="R10" s="2"/>
      <c r="S10" s="3"/>
      <c r="V10" s="2"/>
      <c r="W10" s="169" t="str">
        <f>VLOOKUP(Z3,AM54:BD64,2,FALSE)</f>
        <v>Select product type</v>
      </c>
      <c r="X10" s="170"/>
      <c r="Y10" s="170"/>
      <c r="Z10" s="171"/>
      <c r="AA10" s="171"/>
      <c r="AB10" s="171"/>
      <c r="AC10" s="171"/>
      <c r="AD10" s="170"/>
      <c r="AE10" s="172"/>
      <c r="AN10" s="2"/>
      <c r="AO10" s="2"/>
      <c r="AZ10" s="8"/>
      <c r="BA10" s="7"/>
      <c r="BB10" s="7"/>
    </row>
    <row r="11" spans="5:54" ht="12.75" customHeight="1" thickBot="1" x14ac:dyDescent="0.25">
      <c r="E11" s="120"/>
      <c r="F11" s="120"/>
      <c r="G11" s="120"/>
      <c r="H11" s="120"/>
      <c r="I11" s="120"/>
      <c r="J11" s="120"/>
      <c r="K11" s="120"/>
      <c r="L11" s="121" t="s">
        <v>32</v>
      </c>
      <c r="M11" s="121">
        <f>MATCH(Z3,AM54:AM64,0)</f>
        <v>1</v>
      </c>
      <c r="N11" s="121">
        <v>1</v>
      </c>
      <c r="O11" s="121"/>
      <c r="P11" s="121"/>
      <c r="Q11" s="121"/>
      <c r="R11" s="121"/>
      <c r="S11" s="122"/>
      <c r="T11" s="120"/>
      <c r="U11" s="120"/>
      <c r="V11" s="2"/>
      <c r="W11" s="24"/>
      <c r="X11" s="14"/>
      <c r="Y11" s="14"/>
      <c r="Z11" s="163" t="s">
        <v>49</v>
      </c>
      <c r="AA11" s="164"/>
      <c r="AB11" s="164"/>
      <c r="AC11" s="165"/>
      <c r="AD11" s="83"/>
      <c r="AE11" s="84"/>
      <c r="AN11" s="63" t="s">
        <v>214</v>
      </c>
      <c r="AO11" s="63"/>
      <c r="AP11" s="63"/>
      <c r="AZ11" s="8"/>
      <c r="BA11" s="7"/>
      <c r="BB11" s="7"/>
    </row>
    <row r="12" spans="5:54" ht="15.75" thickBot="1" x14ac:dyDescent="0.3">
      <c r="E12" s="120"/>
      <c r="F12" s="120"/>
      <c r="G12" s="120"/>
      <c r="H12" s="120"/>
      <c r="I12" s="120"/>
      <c r="J12" s="120"/>
      <c r="K12" s="120"/>
      <c r="L12" s="120" t="s">
        <v>34</v>
      </c>
      <c r="M12" s="123">
        <f>ROW($BI$54)</f>
        <v>54</v>
      </c>
      <c r="N12" s="121">
        <v>54</v>
      </c>
      <c r="O12" s="121">
        <v>54</v>
      </c>
      <c r="P12" s="121"/>
      <c r="Q12" s="121"/>
      <c r="R12" s="121"/>
      <c r="S12" s="122"/>
      <c r="T12" s="120"/>
      <c r="U12" s="120"/>
      <c r="V12" s="2"/>
      <c r="W12" s="185" t="str">
        <f>VLOOKUP(Z3,AM54:BG64,21,FALSE)</f>
        <v>Input product data</v>
      </c>
      <c r="X12" s="186"/>
      <c r="Y12" s="186"/>
      <c r="Z12" s="171"/>
      <c r="AA12" s="170"/>
      <c r="AB12" s="170"/>
      <c r="AC12" s="170"/>
      <c r="AD12" s="186"/>
      <c r="AE12" s="187"/>
      <c r="AN12" s="2"/>
      <c r="AO12" s="2"/>
      <c r="AZ12" s="8"/>
      <c r="BA12" s="7"/>
      <c r="BB12" s="7"/>
    </row>
    <row r="13" spans="5:54" ht="12.75" customHeight="1" x14ac:dyDescent="0.2">
      <c r="E13" s="120"/>
      <c r="F13" s="120"/>
      <c r="G13" s="120"/>
      <c r="H13" s="120"/>
      <c r="I13" s="120"/>
      <c r="J13" s="120"/>
      <c r="K13" s="120"/>
      <c r="L13" s="121" t="s">
        <v>33</v>
      </c>
      <c r="M13" s="123">
        <f>COLUMN($BI$54)+IFERROR(MATCH($Z$11,$BI$54:$BN$54,0),IFERROR(MATCH($Z$11,$BI$55:$BN$55,0),IFERROR(MATCH($Z$11,$BI$56:$BN$56,0),IFERROR(MATCH($Z$11,$BI$61:$BN$61,0),IFERROR(MATCH($Z$11,$BI$62:$BN$62,0),IFERROR(MATCH($Z$11,$BI$63:$BN$63,0),MATCH($Z$11,$BI$64:$BN$64,0)))))))</f>
        <v>62</v>
      </c>
      <c r="N13" s="121">
        <v>52</v>
      </c>
      <c r="O13" s="121"/>
      <c r="P13" s="121"/>
      <c r="Q13" s="121"/>
      <c r="R13" s="121"/>
      <c r="S13" s="122"/>
      <c r="T13" s="120"/>
      <c r="U13" s="120"/>
      <c r="V13" s="2"/>
      <c r="W13" s="155" t="str">
        <f>VLOOKUP(Z3,AM54:BD64,9,FALSE)</f>
        <v>Net volume</v>
      </c>
      <c r="X13" s="27"/>
      <c r="Y13" s="27"/>
      <c r="Z13" s="157">
        <v>608</v>
      </c>
      <c r="AA13" s="159" t="s">
        <v>315</v>
      </c>
      <c r="AB13" s="27"/>
      <c r="AC13" s="27"/>
      <c r="AD13" s="27"/>
      <c r="AE13" s="30"/>
      <c r="AN13" s="2"/>
      <c r="AO13" s="2"/>
      <c r="AZ13" s="8"/>
      <c r="BA13" s="7"/>
      <c r="BB13" s="7"/>
    </row>
    <row r="14" spans="5:54" ht="13.5" thickBot="1" x14ac:dyDescent="0.25">
      <c r="E14" s="120"/>
      <c r="F14" s="120"/>
      <c r="G14" s="120"/>
      <c r="H14" s="120"/>
      <c r="I14" s="120"/>
      <c r="J14" s="120"/>
      <c r="K14" s="120"/>
      <c r="L14" s="121"/>
      <c r="M14" s="121"/>
      <c r="N14" s="121"/>
      <c r="O14" s="121"/>
      <c r="P14" s="121"/>
      <c r="Q14" s="121"/>
      <c r="R14" s="121"/>
      <c r="S14" s="122"/>
      <c r="T14" s="120"/>
      <c r="U14" s="120"/>
      <c r="V14" s="2"/>
      <c r="W14" s="156"/>
      <c r="X14" s="28"/>
      <c r="Y14" s="28"/>
      <c r="Z14" s="158"/>
      <c r="AA14" s="160"/>
      <c r="AB14" s="28"/>
      <c r="AC14" s="28"/>
      <c r="AD14" s="28"/>
      <c r="AE14" s="32"/>
      <c r="AZ14" s="8"/>
      <c r="BA14" s="7"/>
      <c r="BB14" s="7"/>
    </row>
    <row r="15" spans="5:54" x14ac:dyDescent="0.2">
      <c r="E15" s="120"/>
      <c r="F15" s="120"/>
      <c r="G15" s="120"/>
      <c r="H15" s="120"/>
      <c r="I15" s="120"/>
      <c r="J15" s="120"/>
      <c r="K15" s="120"/>
      <c r="L15" s="121"/>
      <c r="M15" s="121"/>
      <c r="N15" s="121"/>
      <c r="O15" s="121"/>
      <c r="P15" s="121"/>
      <c r="Q15" s="121"/>
      <c r="R15" s="121"/>
      <c r="S15" s="122"/>
      <c r="T15" s="120"/>
      <c r="U15" s="120"/>
      <c r="V15" s="2"/>
      <c r="W15" s="161" t="str">
        <f>VLOOKUP(Z3,AM54:BU64,35,FALSE)</f>
        <v>Annual Energy Consumption (AEC = TEC * 365)</v>
      </c>
      <c r="X15" s="27"/>
      <c r="Y15" s="27"/>
      <c r="Z15" s="157">
        <v>1617</v>
      </c>
      <c r="AA15" s="159" t="s">
        <v>316</v>
      </c>
      <c r="AB15" s="27"/>
      <c r="AC15" s="27"/>
      <c r="AD15" s="27"/>
      <c r="AE15" s="30"/>
    </row>
    <row r="16" spans="5:54" ht="13.5" thickBot="1" x14ac:dyDescent="0.25">
      <c r="E16" s="120"/>
      <c r="F16" s="120"/>
      <c r="G16" s="120"/>
      <c r="H16" s="120"/>
      <c r="I16" s="120"/>
      <c r="J16" s="120"/>
      <c r="K16" s="120"/>
      <c r="L16" s="121"/>
      <c r="M16" s="121"/>
      <c r="N16" s="121"/>
      <c r="O16" s="121"/>
      <c r="P16" s="121"/>
      <c r="Q16" s="121"/>
      <c r="R16" s="121"/>
      <c r="S16" s="122"/>
      <c r="T16" s="120"/>
      <c r="U16" s="120"/>
      <c r="W16" s="156"/>
      <c r="X16" s="28"/>
      <c r="Y16" s="28"/>
      <c r="Z16" s="158"/>
      <c r="AA16" s="160"/>
      <c r="AB16" s="28"/>
      <c r="AC16" s="28"/>
      <c r="AD16" s="28"/>
      <c r="AE16" s="32"/>
    </row>
    <row r="17" spans="5:55" x14ac:dyDescent="0.2">
      <c r="E17" s="120"/>
      <c r="F17" s="120"/>
      <c r="G17" s="120"/>
      <c r="H17" s="120"/>
      <c r="I17" s="120"/>
      <c r="J17" s="120"/>
      <c r="K17" s="120"/>
      <c r="L17" s="121"/>
      <c r="M17" s="121"/>
      <c r="N17" s="121"/>
      <c r="O17" s="121"/>
      <c r="P17" s="121"/>
      <c r="Q17" s="121"/>
      <c r="R17" s="121"/>
      <c r="S17" s="122"/>
      <c r="T17" s="120"/>
      <c r="U17" s="120"/>
      <c r="W17" s="155" t="str">
        <f>VLOOKUP(Z3,AM54:BU64,18,FALSE)</f>
        <v>Number of products</v>
      </c>
      <c r="X17" s="27"/>
      <c r="Y17" s="27"/>
      <c r="Z17" s="157">
        <v>1</v>
      </c>
      <c r="AA17" s="184"/>
      <c r="AB17" s="27"/>
      <c r="AC17" s="27"/>
      <c r="AD17" s="27"/>
      <c r="AE17" s="30"/>
    </row>
    <row r="18" spans="5:55" ht="13.5" thickBot="1" x14ac:dyDescent="0.25">
      <c r="E18" s="120"/>
      <c r="F18" s="120"/>
      <c r="G18" s="120"/>
      <c r="H18" s="120"/>
      <c r="I18" s="120"/>
      <c r="J18" s="120"/>
      <c r="K18" s="120"/>
      <c r="L18" s="121"/>
      <c r="M18" s="121"/>
      <c r="N18" s="121"/>
      <c r="O18" s="121"/>
      <c r="P18" s="121"/>
      <c r="Q18" s="121"/>
      <c r="R18" s="121"/>
      <c r="S18" s="122"/>
      <c r="T18" s="120"/>
      <c r="U18" s="120"/>
      <c r="W18" s="156"/>
      <c r="X18" s="28"/>
      <c r="Y18" s="28"/>
      <c r="Z18" s="158"/>
      <c r="AA18" s="160"/>
      <c r="AB18" s="28"/>
      <c r="AC18" s="28"/>
      <c r="AD18" s="28"/>
      <c r="AE18" s="32"/>
    </row>
    <row r="19" spans="5:55" x14ac:dyDescent="0.2">
      <c r="E19" s="120"/>
      <c r="F19" s="120"/>
      <c r="G19" s="120"/>
      <c r="H19" s="120"/>
      <c r="I19" s="120"/>
      <c r="J19" s="120"/>
      <c r="K19" s="120"/>
      <c r="L19" s="124" t="s">
        <v>9</v>
      </c>
      <c r="M19" s="125"/>
      <c r="N19" s="126"/>
      <c r="O19" s="124"/>
      <c r="P19" s="127"/>
      <c r="Q19" s="127" t="s">
        <v>279</v>
      </c>
      <c r="R19" s="128"/>
      <c r="S19" s="122"/>
      <c r="T19" s="120"/>
      <c r="U19" s="120"/>
      <c r="W19" s="155" t="str">
        <f>VLOOKUP(Z3,AM54:BU64,10,FALSE)</f>
        <v>Service life</v>
      </c>
      <c r="X19" s="27"/>
      <c r="Y19" s="27"/>
      <c r="Z19" s="157">
        <v>8</v>
      </c>
      <c r="AA19" s="183" t="str">
        <f>VLOOKUP(Z3,AM54:CC64,30,FALSE)</f>
        <v>years</v>
      </c>
      <c r="AB19" s="27"/>
      <c r="AC19" s="27"/>
      <c r="AD19" s="27"/>
      <c r="AE19" s="30"/>
    </row>
    <row r="20" spans="5:55" ht="13.5" thickBot="1" x14ac:dyDescent="0.25">
      <c r="E20" s="120"/>
      <c r="F20" s="120"/>
      <c r="G20" s="120"/>
      <c r="H20" s="120"/>
      <c r="I20" s="120"/>
      <c r="J20" s="120"/>
      <c r="K20" s="120"/>
      <c r="L20" s="129" t="s">
        <v>10</v>
      </c>
      <c r="M20" s="128" t="s">
        <v>11</v>
      </c>
      <c r="N20" s="128" t="s">
        <v>12</v>
      </c>
      <c r="O20" s="127" t="s">
        <v>8</v>
      </c>
      <c r="P20" s="127"/>
      <c r="Q20" s="127" t="s">
        <v>278</v>
      </c>
      <c r="R20" s="128" t="s">
        <v>219</v>
      </c>
      <c r="S20" s="122"/>
      <c r="T20" s="120"/>
      <c r="U20" s="120"/>
      <c r="W20" s="156"/>
      <c r="X20" s="28"/>
      <c r="Y20" s="28"/>
      <c r="Z20" s="158"/>
      <c r="AA20" s="160"/>
      <c r="AB20" s="28"/>
      <c r="AC20" s="28"/>
      <c r="AD20" s="28"/>
      <c r="AE20" s="32"/>
    </row>
    <row r="21" spans="5:55" ht="13.5" thickBot="1" x14ac:dyDescent="0.25">
      <c r="E21" s="120"/>
      <c r="F21" s="120"/>
      <c r="G21" s="120"/>
      <c r="H21" s="120"/>
      <c r="I21" s="120"/>
      <c r="J21" s="120"/>
      <c r="K21" s="120"/>
      <c r="L21" s="130" t="str">
        <f>INDEX($BI$54:$BI$64,$M$11)</f>
        <v>Storage Counter Refrigerators</v>
      </c>
      <c r="M21" s="122">
        <v>2.5550000000000002</v>
      </c>
      <c r="N21" s="122">
        <v>1790</v>
      </c>
      <c r="O21" s="131">
        <f>$P$73</f>
        <v>21.074999999999999</v>
      </c>
      <c r="P21" s="131" t="str">
        <f>VLOOKUP(Z3,AM54:CA64,36,FALSE)</f>
        <v>„Find efficient Storage Counter Refrigerators online“</v>
      </c>
      <c r="Q21" s="131">
        <v>2.42</v>
      </c>
      <c r="R21" s="132" t="str">
        <f>VLOOKUP(Z3,AM54:CL64,47,FALSE)</f>
        <v>http://www.pro-cold.eu/english/storage-refrigerators/storage-counter-refrigerators.html</v>
      </c>
      <c r="S21" s="122"/>
      <c r="T21" s="120"/>
      <c r="U21" s="120"/>
      <c r="W21" s="89" t="str">
        <f>VLOOKUP(Z3,AM54:BD64,17,FALSE)</f>
        <v>Your product price</v>
      </c>
      <c r="X21" s="28"/>
      <c r="Y21" s="28"/>
      <c r="Z21" s="77">
        <v>2000</v>
      </c>
      <c r="AA21" s="90" t="str">
        <f>VLOOKUP(Z3,AM54:BQ64,31,FALSE)</f>
        <v>€</v>
      </c>
      <c r="AB21" s="28"/>
      <c r="AC21" s="28"/>
      <c r="AD21" s="28"/>
      <c r="AE21" s="32"/>
    </row>
    <row r="22" spans="5:55" ht="13.5" thickBot="1" x14ac:dyDescent="0.25">
      <c r="E22" s="120"/>
      <c r="F22" s="120"/>
      <c r="G22" s="120"/>
      <c r="H22" s="120"/>
      <c r="I22" s="120"/>
      <c r="J22" s="120"/>
      <c r="K22" s="120"/>
      <c r="L22" s="130" t="str">
        <f>INDEX($BJ$54:$BJ$64,$M$11)</f>
        <v>Storage Refrigerators 1 - door</v>
      </c>
      <c r="M22" s="122">
        <v>1.643</v>
      </c>
      <c r="N22" s="122">
        <v>609</v>
      </c>
      <c r="O22" s="131">
        <f>$P$100</f>
        <v>42.185769230769218</v>
      </c>
      <c r="P22" s="131" t="str">
        <f>VLOOKUP(Z3,AM54:CA64,37,FALSE)</f>
        <v>„Find efficient Storage Refrigerators 1 - door online“</v>
      </c>
      <c r="Q22" s="131">
        <v>2.42</v>
      </c>
      <c r="R22" s="122" t="str">
        <f>VLOOKUP(Z3,AM54:CL64,48,FALSE)</f>
        <v>http://www.pro-cold.eu/english/storage-refrigerators/storage-refrigerators-1-door-2.html</v>
      </c>
      <c r="S22" s="122"/>
      <c r="T22" s="120"/>
      <c r="U22" s="120"/>
      <c r="W22" s="89" t="str">
        <f>VLOOKUP(Z3,AM54:BD64,16,FALSE)</f>
        <v>Top product price</v>
      </c>
      <c r="X22" s="28"/>
      <c r="Y22" s="28"/>
      <c r="Z22" s="77">
        <v>2500</v>
      </c>
      <c r="AA22" s="90" t="str">
        <f>VLOOKUP(Z3,AM54:BQ64,31,FALSE)</f>
        <v>€</v>
      </c>
      <c r="AB22" s="28"/>
      <c r="AC22" s="28"/>
      <c r="AD22" s="28"/>
      <c r="AE22" s="32"/>
    </row>
    <row r="23" spans="5:55" ht="15" x14ac:dyDescent="0.25">
      <c r="E23" s="120"/>
      <c r="F23" s="120"/>
      <c r="G23" s="120"/>
      <c r="H23" s="120"/>
      <c r="I23" s="120"/>
      <c r="J23" s="120"/>
      <c r="K23" s="120"/>
      <c r="L23" s="130" t="str">
        <f>INDEX($BK$54:$BK$64,$M$11)</f>
        <v>Storage Refrigerators 2 - doors</v>
      </c>
      <c r="M23" s="122">
        <v>1.643</v>
      </c>
      <c r="N23" s="122">
        <v>609</v>
      </c>
      <c r="O23" s="131">
        <f>$P$109</f>
        <v>51.850000000000009</v>
      </c>
      <c r="P23" s="131" t="str">
        <f>VLOOKUP(Z3,AM54:CA64,38,FALSE)</f>
        <v>„Find efficient Storage Refrigerators 2 - doors online“</v>
      </c>
      <c r="Q23" s="131">
        <v>2.42</v>
      </c>
      <c r="R23" s="122" t="str">
        <f>VLOOKUP(Z3,AM54:CL64,49,FALSE)</f>
        <v>http://www.pro-cold.eu/english/storage-refrigerators/storage-refrigerators-2-doors-2.html</v>
      </c>
      <c r="S23" s="122"/>
      <c r="T23" s="120"/>
      <c r="U23" s="120"/>
      <c r="W23" s="169" t="str">
        <f>VLOOKUP(Z3,AM54:BH64,22,FALSE)</f>
        <v>Product comparison over life time</v>
      </c>
      <c r="X23" s="170"/>
      <c r="Y23" s="170"/>
      <c r="Z23" s="170"/>
      <c r="AA23" s="170"/>
      <c r="AB23" s="170"/>
      <c r="AC23" s="170"/>
      <c r="AD23" s="170"/>
      <c r="AE23" s="172"/>
    </row>
    <row r="24" spans="5:55" x14ac:dyDescent="0.2">
      <c r="E24" s="120"/>
      <c r="F24" s="120"/>
      <c r="G24" s="120"/>
      <c r="H24" s="120"/>
      <c r="I24" s="120"/>
      <c r="J24" s="120"/>
      <c r="K24" s="120"/>
      <c r="L24" s="130" t="str">
        <f>INDEX($BL$54:$BL$64,$M$11)</f>
        <v>Storage Counter Freezers</v>
      </c>
      <c r="M24" s="122">
        <v>5.84</v>
      </c>
      <c r="N24" s="122">
        <v>2380</v>
      </c>
      <c r="O24" s="131">
        <f>$P$112</f>
        <v>22.35</v>
      </c>
      <c r="P24" s="131" t="str">
        <f>VLOOKUP(Z3,AM54:CA64,39,FALSE)</f>
        <v>„Find efficient Storage Counter Freezers online“</v>
      </c>
      <c r="Q24" s="131">
        <v>5.8</v>
      </c>
      <c r="R24" s="122" t="str">
        <f>VLOOKUP(Z3,AM54:CL64,50,FALSE)</f>
        <v>http://www.pro-cold.eu/english/storage-freezers/storage-counter-freezers-2.html</v>
      </c>
      <c r="S24" s="122"/>
      <c r="T24" s="120"/>
      <c r="U24" s="120"/>
      <c r="W24" s="33"/>
      <c r="X24" s="181" t="str">
        <f>VLOOKUP(Z3,AM54:BD64,7,FALSE)</f>
        <v>Energy consumption</v>
      </c>
      <c r="Y24" s="182"/>
      <c r="Z24" s="181" t="str">
        <f>VLOOKUP(Z3,AM54:CV64,53,FALSE)</f>
        <v>Purchase price</v>
      </c>
      <c r="AA24" s="182"/>
      <c r="AB24" s="181" t="str">
        <f>VLOOKUP(Z3,AM54:BD64,8,FALSE)</f>
        <v>Energy costs</v>
      </c>
      <c r="AC24" s="182"/>
      <c r="AD24" s="181" t="str">
        <f>VLOOKUP(Z3,AM54:BD64,11,FALSE)</f>
        <v>CO2 emissions</v>
      </c>
      <c r="AE24" s="188"/>
    </row>
    <row r="25" spans="5:55" x14ac:dyDescent="0.2">
      <c r="E25" s="120"/>
      <c r="F25" s="120"/>
      <c r="G25" s="120"/>
      <c r="H25" s="120"/>
      <c r="I25" s="120"/>
      <c r="J25" s="120"/>
      <c r="K25" s="120"/>
      <c r="L25" s="130" t="str">
        <f>INDEX($BM$54:$BM$64,$M$11)</f>
        <v>Storage Freezers 1 - door</v>
      </c>
      <c r="M25" s="122">
        <v>4.9279999999999999</v>
      </c>
      <c r="N25" s="122">
        <v>1472</v>
      </c>
      <c r="O25" s="131">
        <f>$P$133</f>
        <v>53.33</v>
      </c>
      <c r="P25" s="131" t="str">
        <f>VLOOKUP(Z3,AM54:CA64,40,FALSE)</f>
        <v>„Find efficient Storage Freezers 1 - door online“</v>
      </c>
      <c r="Q25" s="131">
        <v>5.8</v>
      </c>
      <c r="R25" s="122" t="str">
        <f>VLOOKUP(Z3,AM54:CL64,51,FALSE)</f>
        <v>http://www.pro-cold.eu/english/storage-freezers/storage-freezers-1-door-2.html</v>
      </c>
      <c r="S25" s="122"/>
      <c r="T25" s="120"/>
      <c r="U25" s="120"/>
      <c r="W25" s="74" t="str">
        <f>VLOOKUP(Z3,AM54:BD64,3,FALSE)</f>
        <v>Your product</v>
      </c>
      <c r="X25" s="53">
        <f>$Z$15*$Z$19*$Z$17</f>
        <v>12936</v>
      </c>
      <c r="Y25" s="113" t="s">
        <v>317</v>
      </c>
      <c r="Z25" s="79">
        <f>$Z$21*$Z$17</f>
        <v>2000</v>
      </c>
      <c r="AA25" s="54" t="str">
        <f>VLOOKUP(Z3,AM54:CE64,31,FALSE)</f>
        <v>€</v>
      </c>
      <c r="AB25" s="55">
        <f>$X$25*$Z$7</f>
        <v>2587.2000000000003</v>
      </c>
      <c r="AC25" s="54" t="str">
        <f>VLOOKUP(Z3,AM54:BQ64,31,FALSE)</f>
        <v>€</v>
      </c>
      <c r="AD25" s="87">
        <f>($X$25*$Z$8)/1000</f>
        <v>5.69184</v>
      </c>
      <c r="AE25" s="114" t="s">
        <v>318</v>
      </c>
    </row>
    <row r="26" spans="5:55" ht="13.5" thickBot="1" x14ac:dyDescent="0.25">
      <c r="E26" s="120"/>
      <c r="F26" s="120"/>
      <c r="G26" s="120"/>
      <c r="H26" s="120"/>
      <c r="I26" s="120"/>
      <c r="J26" s="120"/>
      <c r="K26" s="120"/>
      <c r="L26" s="133" t="str">
        <f>INDEX($BN$54:$BN$64,$M$11)</f>
        <v>Storage Freezers 2 - doors</v>
      </c>
      <c r="M26" s="134">
        <v>4.9279999999999999</v>
      </c>
      <c r="N26" s="134">
        <v>1472</v>
      </c>
      <c r="O26" s="135">
        <f>$P$139</f>
        <v>64.3</v>
      </c>
      <c r="P26" s="135" t="str">
        <f>VLOOKUP(Z3,AM54:CA64,41,FALSE)</f>
        <v>„Find efficient Storage Freezers 2 - doors online“</v>
      </c>
      <c r="Q26" s="135">
        <v>5.8</v>
      </c>
      <c r="R26" s="134" t="str">
        <f>VLOOKUP(Z3,AM54:CL64,52,FALSE)</f>
        <v>http://www.pro-cold.eu/english/storage-freezers/storage-freezers-2-doors-2.html</v>
      </c>
      <c r="S26" s="122"/>
      <c r="T26" s="120"/>
      <c r="U26" s="120"/>
      <c r="W26" s="24" t="str">
        <f>VLOOKUP(Z3,AM54:BD64,5,FALSE)</f>
        <v>Top product</v>
      </c>
      <c r="X26" s="48">
        <f>(($X$30*$M$35)/100)*$Z$19*$Z$17</f>
        <v>5637.0398399999995</v>
      </c>
      <c r="Y26" s="116" t="s">
        <v>317</v>
      </c>
      <c r="Z26" s="80">
        <f>$Z$22*$Z$17</f>
        <v>2500</v>
      </c>
      <c r="AA26" s="78" t="str">
        <f>VLOOKUP(Z3,AM54:CE64,31,FALSE)</f>
        <v>€</v>
      </c>
      <c r="AB26" s="48">
        <f>$X$26*$Z$7</f>
        <v>1127.407968</v>
      </c>
      <c r="AC26" s="47" t="str">
        <f>VLOOKUP(Z3,AM54:BQ64,31,FALSE)</f>
        <v>€</v>
      </c>
      <c r="AD26" s="88">
        <f>($X$26*$Z$8)/1000</f>
        <v>2.4802975296000001</v>
      </c>
      <c r="AE26" s="115" t="s">
        <v>318</v>
      </c>
    </row>
    <row r="27" spans="5:55" ht="13.5" thickBot="1" x14ac:dyDescent="0.25">
      <c r="E27" s="120"/>
      <c r="F27" s="120"/>
      <c r="G27" s="120"/>
      <c r="H27" s="120"/>
      <c r="I27" s="120"/>
      <c r="J27" s="120"/>
      <c r="K27" s="120"/>
      <c r="L27" s="120"/>
      <c r="M27" s="120"/>
      <c r="N27" s="120"/>
      <c r="O27" s="120"/>
      <c r="P27" s="120"/>
      <c r="Q27" s="120"/>
      <c r="R27" s="120"/>
      <c r="S27" s="122"/>
      <c r="T27" s="120"/>
      <c r="U27" s="120"/>
      <c r="W27" s="34" t="str">
        <f>VLOOKUP(Z3,AM54:BD64,6,FALSE)</f>
        <v>Total Savings</v>
      </c>
      <c r="X27" s="59">
        <f>$X$25-$X$26</f>
        <v>7298.9601600000005</v>
      </c>
      <c r="Y27" s="58" t="s">
        <v>317</v>
      </c>
      <c r="Z27" s="109"/>
      <c r="AA27" s="110"/>
      <c r="AB27" s="59">
        <f>($Z$25+$AB$25)-($Z$26+$AB$26)</f>
        <v>959.79203200000075</v>
      </c>
      <c r="AC27" s="58" t="str">
        <f>VLOOKUP(Z3,AM54:BQ64,31,FALSE)</f>
        <v>€</v>
      </c>
      <c r="AD27" s="111">
        <f>$AD$25-$AD$26</f>
        <v>3.2115424704</v>
      </c>
      <c r="AE27" s="58" t="s">
        <v>318</v>
      </c>
    </row>
    <row r="28" spans="5:55" ht="13.5" thickBot="1" x14ac:dyDescent="0.25">
      <c r="E28" s="120"/>
      <c r="F28" s="120"/>
      <c r="G28" s="120"/>
      <c r="H28" s="120"/>
      <c r="I28" s="120"/>
      <c r="J28" s="120"/>
      <c r="K28" s="120"/>
      <c r="L28" s="120"/>
      <c r="M28" s="120"/>
      <c r="N28" s="120"/>
      <c r="O28" s="120"/>
      <c r="P28" s="120"/>
      <c r="Q28" s="120"/>
      <c r="R28" s="120"/>
      <c r="S28" s="122"/>
      <c r="T28" s="120"/>
      <c r="U28" s="120"/>
      <c r="W28" s="50"/>
      <c r="X28" s="103" t="str">
        <f>VLOOKUP(Z3,AM54:BD64,14,FALSE)</f>
        <v>Energy Efficiency Index</v>
      </c>
      <c r="Y28" s="51"/>
      <c r="Z28" s="14"/>
      <c r="AA28" s="108" t="str">
        <f>VLOOKUP(Z3,AM54:BD64,15,FALSE)</f>
        <v>Energy Class</v>
      </c>
      <c r="AB28" s="14"/>
      <c r="AC28" s="14"/>
      <c r="AD28" s="179" t="str">
        <f>VLOOKUP(Z3,AM54:CQ64,57,FALSE)</f>
        <v>Grey CO2 emissions</v>
      </c>
      <c r="AE28" s="180"/>
    </row>
    <row r="29" spans="5:55" ht="13.5" thickBot="1" x14ac:dyDescent="0.25">
      <c r="E29" s="120"/>
      <c r="F29" s="120"/>
      <c r="G29" s="120"/>
      <c r="H29" s="120"/>
      <c r="I29" s="120"/>
      <c r="J29" s="120"/>
      <c r="K29" s="120"/>
      <c r="L29" s="120"/>
      <c r="M29" s="120"/>
      <c r="N29" s="120"/>
      <c r="O29" s="120"/>
      <c r="P29" s="120"/>
      <c r="Q29" s="120"/>
      <c r="R29" s="120"/>
      <c r="S29" s="122"/>
      <c r="T29" s="120"/>
      <c r="U29" s="120"/>
      <c r="W29" s="74" t="str">
        <f>VLOOKUP(Z3,AM54:CO64,54,FALSE)</f>
        <v>Your product</v>
      </c>
      <c r="X29" s="104">
        <f>($Z$15/$M$35)*100</f>
        <v>48.36336228555021</v>
      </c>
      <c r="Y29" s="105"/>
      <c r="Z29" s="14"/>
      <c r="AA29" s="118" t="str">
        <f>IF($X$29&lt;10,"A+++",IF($X$29&lt;15,"A++",IF($X$29&lt;20,"A+",IF($X$29&lt;30,"A",IF($X$29&lt;40,"B",IF($X$29&lt;55,"C",IF($X$29&lt;75,"D",IF($X$29&lt;85,"E","F-G"))))))))</f>
        <v>C</v>
      </c>
      <c r="AB29" s="14"/>
      <c r="AC29" s="14"/>
      <c r="AD29" s="111">
        <f>($Z$13*$P$33)/1000</f>
        <v>1.47136</v>
      </c>
      <c r="AE29" s="58" t="s">
        <v>318</v>
      </c>
    </row>
    <row r="30" spans="5:55" x14ac:dyDescent="0.2">
      <c r="E30" s="120"/>
      <c r="F30" s="120"/>
      <c r="G30" s="120"/>
      <c r="H30" s="120"/>
      <c r="I30" s="120"/>
      <c r="J30" s="120"/>
      <c r="K30" s="120"/>
      <c r="L30" s="120"/>
      <c r="M30" s="120"/>
      <c r="N30" s="120"/>
      <c r="O30" s="120"/>
      <c r="P30" s="120"/>
      <c r="Q30" s="120"/>
      <c r="R30" s="120"/>
      <c r="S30" s="122"/>
      <c r="T30" s="120"/>
      <c r="U30" s="120"/>
      <c r="W30" s="31" t="str">
        <f>VLOOKUP(Z3,AM54:CO64,55,FALSE)</f>
        <v>Top product</v>
      </c>
      <c r="X30" s="106">
        <f>VLOOKUP(Z11,L21:O26,4,FALSE)</f>
        <v>21.074999999999999</v>
      </c>
      <c r="Y30" s="107"/>
      <c r="Z30" s="28"/>
      <c r="AA30" s="119" t="str">
        <f>IF($X$30&lt;10,"A+++",IF($X$30&lt;15,"A++",IF($X$30&lt;20,"A+",IF($X$30&lt;30,"A",IF($X$30&lt;40,"B",IF($X$30&lt;55,"C",IF($X$30&lt;75,"D",IF($X$30&lt;85,"E","F-G"))))))))</f>
        <v>A</v>
      </c>
      <c r="AB30" s="28"/>
      <c r="AC30" s="28"/>
      <c r="AD30" s="85"/>
      <c r="AE30" s="86"/>
    </row>
    <row r="31" spans="5:55" x14ac:dyDescent="0.2">
      <c r="E31" s="120"/>
      <c r="F31" s="120"/>
      <c r="G31" s="120"/>
      <c r="H31" s="120"/>
      <c r="I31" s="120"/>
      <c r="J31" s="120"/>
      <c r="K31" s="120"/>
      <c r="L31" s="121"/>
      <c r="M31" s="121"/>
      <c r="N31" s="121"/>
      <c r="O31" s="121"/>
      <c r="P31" s="121"/>
      <c r="Q31" s="121"/>
      <c r="R31" s="121"/>
      <c r="S31" s="122"/>
      <c r="T31" s="120"/>
      <c r="U31" s="120"/>
      <c r="W31" s="24"/>
      <c r="X31" s="14"/>
      <c r="Y31" s="14"/>
      <c r="Z31" s="14"/>
      <c r="AA31" s="14"/>
      <c r="AB31" s="14"/>
      <c r="AC31" s="14"/>
      <c r="AD31" s="14"/>
      <c r="AE31" s="23"/>
      <c r="BA31" s="2"/>
      <c r="BB31" s="2"/>
      <c r="BC31" s="2"/>
    </row>
    <row r="32" spans="5:55" ht="13.5" thickBot="1" x14ac:dyDescent="0.25">
      <c r="E32" s="120"/>
      <c r="F32" s="120"/>
      <c r="G32" s="120"/>
      <c r="H32" s="120"/>
      <c r="I32" s="120"/>
      <c r="J32" s="120"/>
      <c r="K32" s="120"/>
      <c r="L32" s="178" t="s">
        <v>81</v>
      </c>
      <c r="M32" s="178" t="s">
        <v>11</v>
      </c>
      <c r="N32" s="133" t="s">
        <v>12</v>
      </c>
      <c r="O32" s="121"/>
      <c r="P32" s="121" t="s">
        <v>81</v>
      </c>
      <c r="Q32" s="121"/>
      <c r="R32" s="121"/>
      <c r="S32" s="122"/>
      <c r="T32" s="120"/>
      <c r="U32" s="120"/>
      <c r="W32" s="35" t="str">
        <f>VLOOKUP(Z3,AM54:BR64,32,FALSE)</f>
        <v>Link</v>
      </c>
      <c r="X32" s="176" t="str">
        <f>HYPERLINK(VLOOKUP(Z11,L21:R26,7,FALSE),VLOOKUP(Z11,L21:R26,5,FALSE))</f>
        <v>„Find efficient Storage Counter Refrigerators online“</v>
      </c>
      <c r="Y32" s="177"/>
      <c r="Z32" s="177"/>
      <c r="AA32" s="177"/>
      <c r="AB32" s="177"/>
      <c r="AC32" s="177"/>
      <c r="AD32" s="91"/>
      <c r="AE32" s="46"/>
    </row>
    <row r="33" spans="5:78" ht="13.5" customHeight="1" x14ac:dyDescent="0.2">
      <c r="E33" s="120"/>
      <c r="F33" s="120"/>
      <c r="G33" s="120"/>
      <c r="H33" s="120"/>
      <c r="I33" s="120"/>
      <c r="J33" s="120"/>
      <c r="K33" s="120"/>
      <c r="L33" s="121"/>
      <c r="M33" s="121">
        <f>VLOOKUP(Z11,L21:N26,2,FALSE)</f>
        <v>2.5550000000000002</v>
      </c>
      <c r="N33" s="130">
        <f>VLOOKUP(Z11,L21:N26,3,FALSE)</f>
        <v>1790</v>
      </c>
      <c r="O33" s="121"/>
      <c r="P33" s="121">
        <f>VLOOKUP(Z11,L21:Q26,6,FALSE)</f>
        <v>2.42</v>
      </c>
      <c r="Q33" s="121"/>
      <c r="R33" s="121"/>
      <c r="S33" s="122"/>
      <c r="T33" s="120"/>
      <c r="U33" s="120"/>
      <c r="W33" s="145" t="str">
        <f>VLOOKUP(Z3,AM54:CF64,46,FALSE)</f>
        <v xml:space="preserve">Short description:
This tool is designed to help the buyers to save on the purchase of new refrigerators and freezers (mainly in the commercial sector), energy and costs.
What follows is a short step by step guide:
To enable a cost comparison between the existing refrigerators and the new energy efficient devices  - the tool nees some input data (cells with gray background!)
1) The first thing is to select the right country with the help of a drop down menu (eg Austria) - so that the language can be set automatically
2) Select the existing refrigerator or freezer with the help of the dorp down menu (eg Storage Counter Refrigerators) 
3) Fill in the Country-specific tariff and CO2 emission factor (eg 0.44 kgCO2/kWh)
4) Fill in the nominal volume of the respective refrigerator or freezer (eg 315 L) - also possible with the slider
5) Add the anual energy consumption in [kWh/a] (eg 1533 kWh/a) - also possible with the slider
6) Possibility to enter several products of the same category (eg 3x Storage Counter Refrigerator)
7) Entering the service life of your device (eg 8 years)
8) Option to indicate the purchase prices of the existing and the new efficient device (eg € 1,000 - € or 1200 €)
With this information, the tool can calculate the total cost of ownership and gives out the result in the green highlighted cell (this is also illustrated in the graph). The total energy saved and the CO2 emissions related to the service life are also calculated by the tool (cells with green background). Using the tip-links, you can instantly find the most efficient devices for the selected product category
</v>
      </c>
      <c r="X33" s="146"/>
      <c r="Y33" s="146"/>
      <c r="Z33" s="146"/>
      <c r="AA33" s="146"/>
      <c r="AB33" s="146"/>
      <c r="AC33" s="146"/>
      <c r="AD33" s="146"/>
      <c r="AE33" s="147"/>
    </row>
    <row r="34" spans="5:78" ht="13.5" customHeight="1" x14ac:dyDescent="0.2">
      <c r="E34" s="120"/>
      <c r="F34" s="120"/>
      <c r="G34" s="120"/>
      <c r="H34" s="120"/>
      <c r="I34" s="120"/>
      <c r="J34" s="120"/>
      <c r="K34" s="120"/>
      <c r="L34" s="121"/>
      <c r="M34" s="121"/>
      <c r="N34" s="121"/>
      <c r="O34" s="121"/>
      <c r="P34" s="121"/>
      <c r="Q34" s="121"/>
      <c r="R34" s="121"/>
      <c r="S34" s="122"/>
      <c r="T34" s="120"/>
      <c r="U34" s="120"/>
      <c r="W34" s="148"/>
      <c r="X34" s="149"/>
      <c r="Y34" s="149"/>
      <c r="Z34" s="149"/>
      <c r="AA34" s="149"/>
      <c r="AB34" s="149"/>
      <c r="AC34" s="149"/>
      <c r="AD34" s="149"/>
      <c r="AE34" s="150"/>
    </row>
    <row r="35" spans="5:78" ht="20.25" customHeight="1" x14ac:dyDescent="0.2">
      <c r="E35" s="120"/>
      <c r="F35" s="120"/>
      <c r="G35" s="120"/>
      <c r="H35" s="120"/>
      <c r="I35" s="120"/>
      <c r="J35" s="120"/>
      <c r="K35" s="120"/>
      <c r="L35" s="121" t="s">
        <v>15</v>
      </c>
      <c r="M35" s="121">
        <f>$M$33*$Z$13+$N$33</f>
        <v>3343.44</v>
      </c>
      <c r="N35" s="121"/>
      <c r="O35" s="121"/>
      <c r="P35" s="121"/>
      <c r="Q35" s="121"/>
      <c r="R35" s="121"/>
      <c r="S35" s="122"/>
      <c r="T35" s="120"/>
      <c r="U35" s="120"/>
      <c r="W35" s="148"/>
      <c r="X35" s="149"/>
      <c r="Y35" s="149"/>
      <c r="Z35" s="149"/>
      <c r="AA35" s="149"/>
      <c r="AB35" s="149"/>
      <c r="AC35" s="149"/>
      <c r="AD35" s="149"/>
      <c r="AE35" s="150"/>
    </row>
    <row r="36" spans="5:78" ht="13.5" customHeight="1" x14ac:dyDescent="0.2">
      <c r="E36" s="120"/>
      <c r="F36" s="120"/>
      <c r="G36" s="120"/>
      <c r="H36" s="120"/>
      <c r="I36" s="120"/>
      <c r="J36" s="120"/>
      <c r="K36" s="120"/>
      <c r="L36" s="121"/>
      <c r="M36" s="121"/>
      <c r="N36" s="121"/>
      <c r="O36" s="121"/>
      <c r="P36" s="121"/>
      <c r="Q36" s="121"/>
      <c r="R36" s="121"/>
      <c r="S36" s="122"/>
      <c r="T36" s="120"/>
      <c r="U36" s="120"/>
      <c r="W36" s="148"/>
      <c r="X36" s="149"/>
      <c r="Y36" s="149"/>
      <c r="Z36" s="149"/>
      <c r="AA36" s="149"/>
      <c r="AB36" s="149"/>
      <c r="AC36" s="149"/>
      <c r="AD36" s="149"/>
      <c r="AE36" s="150"/>
    </row>
    <row r="37" spans="5:78" ht="13.5" customHeight="1" x14ac:dyDescent="0.2">
      <c r="E37" s="120"/>
      <c r="F37" s="120"/>
      <c r="G37" s="120"/>
      <c r="H37" s="120"/>
      <c r="I37" s="120"/>
      <c r="J37" s="120"/>
      <c r="K37" s="120"/>
      <c r="L37" s="121"/>
      <c r="M37" s="121"/>
      <c r="N37" s="121"/>
      <c r="O37" s="121"/>
      <c r="P37" s="121" t="s">
        <v>194</v>
      </c>
      <c r="Q37" s="121"/>
      <c r="R37" s="121"/>
      <c r="S37" s="122"/>
      <c r="T37" s="120"/>
      <c r="U37" s="120"/>
      <c r="W37" s="148"/>
      <c r="X37" s="149"/>
      <c r="Y37" s="149"/>
      <c r="Z37" s="149"/>
      <c r="AA37" s="149"/>
      <c r="AB37" s="149"/>
      <c r="AC37" s="149"/>
      <c r="AD37" s="149"/>
      <c r="AE37" s="150"/>
    </row>
    <row r="38" spans="5:78" ht="13.5" customHeight="1" x14ac:dyDescent="0.2">
      <c r="E38" s="120"/>
      <c r="F38" s="120"/>
      <c r="G38" s="120"/>
      <c r="H38" s="120"/>
      <c r="I38" s="120"/>
      <c r="J38" s="120"/>
      <c r="K38" s="120"/>
      <c r="L38" s="136" t="s">
        <v>17</v>
      </c>
      <c r="M38" s="125"/>
      <c r="N38" s="126"/>
      <c r="O38" s="121"/>
      <c r="P38" s="121" t="str">
        <f>VLOOKUP(Z3,AM54:CD64,42,FALSE)</f>
        <v>Comparison of Total Costs</v>
      </c>
      <c r="Q38" s="121"/>
      <c r="R38" s="121"/>
      <c r="S38" s="122"/>
      <c r="T38" s="120"/>
      <c r="U38" s="120"/>
      <c r="W38" s="148"/>
      <c r="X38" s="149"/>
      <c r="Y38" s="149"/>
      <c r="Z38" s="149"/>
      <c r="AA38" s="149"/>
      <c r="AB38" s="149"/>
      <c r="AC38" s="149"/>
      <c r="AD38" s="149"/>
      <c r="AE38" s="150"/>
    </row>
    <row r="39" spans="5:78" ht="13.5" customHeight="1" x14ac:dyDescent="0.2">
      <c r="E39" s="120"/>
      <c r="F39" s="120"/>
      <c r="G39" s="120"/>
      <c r="H39" s="120"/>
      <c r="I39" s="120"/>
      <c r="J39" s="120"/>
      <c r="K39" s="120"/>
      <c r="L39" s="130" t="s">
        <v>8</v>
      </c>
      <c r="M39" s="121" t="s">
        <v>18</v>
      </c>
      <c r="N39" s="122"/>
      <c r="O39" s="121"/>
      <c r="P39" s="121" t="str">
        <f>VLOOKUP(Z3,AM54:CD64,43,FALSE)</f>
        <v>in €</v>
      </c>
      <c r="Q39" s="121"/>
      <c r="R39" s="121"/>
      <c r="S39" s="122"/>
      <c r="T39" s="120"/>
      <c r="U39" s="120"/>
      <c r="W39" s="148"/>
      <c r="X39" s="149"/>
      <c r="Y39" s="149"/>
      <c r="Z39" s="149"/>
      <c r="AA39" s="149"/>
      <c r="AB39" s="149"/>
      <c r="AC39" s="149"/>
      <c r="AD39" s="149"/>
      <c r="AE39" s="150"/>
    </row>
    <row r="40" spans="5:78" ht="13.5" customHeight="1" x14ac:dyDescent="0.2">
      <c r="E40" s="120"/>
      <c r="F40" s="120"/>
      <c r="G40" s="120"/>
      <c r="H40" s="120"/>
      <c r="I40" s="120"/>
      <c r="J40" s="120"/>
      <c r="K40" s="120"/>
      <c r="L40" s="130" t="s">
        <v>13</v>
      </c>
      <c r="M40" s="121" t="s">
        <v>14</v>
      </c>
      <c r="N40" s="122"/>
      <c r="O40" s="121"/>
      <c r="P40" s="121"/>
      <c r="Q40" s="121"/>
      <c r="R40" s="121"/>
      <c r="S40" s="122"/>
      <c r="T40" s="120"/>
      <c r="U40" s="120"/>
      <c r="W40" s="148"/>
      <c r="X40" s="149"/>
      <c r="Y40" s="149"/>
      <c r="Z40" s="149"/>
      <c r="AA40" s="149"/>
      <c r="AB40" s="149"/>
      <c r="AC40" s="149"/>
      <c r="AD40" s="149"/>
      <c r="AE40" s="150"/>
    </row>
    <row r="41" spans="5:78" ht="13.5" customHeight="1" x14ac:dyDescent="0.2">
      <c r="E41" s="120"/>
      <c r="F41" s="120"/>
      <c r="G41" s="120"/>
      <c r="H41" s="120"/>
      <c r="I41" s="120"/>
      <c r="J41" s="120"/>
      <c r="K41" s="120"/>
      <c r="L41" s="133" t="s">
        <v>15</v>
      </c>
      <c r="M41" s="137" t="s">
        <v>16</v>
      </c>
      <c r="N41" s="134"/>
      <c r="O41" s="121"/>
      <c r="P41" s="121"/>
      <c r="Q41" s="121"/>
      <c r="R41" s="121"/>
      <c r="S41" s="122"/>
      <c r="T41" s="120"/>
      <c r="U41" s="120"/>
      <c r="W41" s="148"/>
      <c r="X41" s="149"/>
      <c r="Y41" s="149"/>
      <c r="Z41" s="149"/>
      <c r="AA41" s="149"/>
      <c r="AB41" s="149"/>
      <c r="AC41" s="149"/>
      <c r="AD41" s="149"/>
      <c r="AE41" s="150"/>
      <c r="BY41" s="45"/>
      <c r="BZ41" s="2"/>
    </row>
    <row r="42" spans="5:78" ht="13.5" customHeight="1" x14ac:dyDescent="0.2">
      <c r="E42" s="120"/>
      <c r="F42" s="120"/>
      <c r="G42" s="120"/>
      <c r="H42" s="120"/>
      <c r="I42" s="120"/>
      <c r="J42" s="120"/>
      <c r="K42" s="120"/>
      <c r="L42" s="121"/>
      <c r="M42" s="121"/>
      <c r="N42" s="121"/>
      <c r="O42" s="121"/>
      <c r="P42" s="121"/>
      <c r="Q42" s="121"/>
      <c r="R42" s="121"/>
      <c r="S42" s="122"/>
      <c r="T42" s="120"/>
      <c r="U42" s="120"/>
      <c r="W42" s="148"/>
      <c r="X42" s="149"/>
      <c r="Y42" s="149"/>
      <c r="Z42" s="149"/>
      <c r="AA42" s="149"/>
      <c r="AB42" s="149"/>
      <c r="AC42" s="149"/>
      <c r="AD42" s="149"/>
      <c r="AE42" s="150"/>
      <c r="BY42" s="45"/>
      <c r="BZ42" s="2"/>
    </row>
    <row r="43" spans="5:78" ht="13.5" customHeight="1" x14ac:dyDescent="0.2">
      <c r="E43" s="120"/>
      <c r="F43" s="120"/>
      <c r="G43" s="120"/>
      <c r="H43" s="120"/>
      <c r="I43" s="120"/>
      <c r="J43" s="120"/>
      <c r="K43" s="120"/>
      <c r="L43" s="121"/>
      <c r="M43" s="121"/>
      <c r="N43" s="121"/>
      <c r="O43" s="121"/>
      <c r="P43" s="121"/>
      <c r="Q43" s="121"/>
      <c r="R43" s="121"/>
      <c r="S43" s="122"/>
      <c r="T43" s="120"/>
      <c r="U43" s="120"/>
      <c r="W43" s="148"/>
      <c r="X43" s="149"/>
      <c r="Y43" s="149"/>
      <c r="Z43" s="149"/>
      <c r="AA43" s="149"/>
      <c r="AB43" s="149"/>
      <c r="AC43" s="149"/>
      <c r="AD43" s="149"/>
      <c r="AE43" s="150"/>
      <c r="BY43" s="45"/>
      <c r="BZ43" s="2"/>
    </row>
    <row r="44" spans="5:78" ht="13.5" customHeight="1" x14ac:dyDescent="0.2">
      <c r="E44" s="120"/>
      <c r="F44" s="120"/>
      <c r="G44" s="120"/>
      <c r="H44" s="120"/>
      <c r="I44" s="120"/>
      <c r="J44" s="120"/>
      <c r="K44" s="120"/>
      <c r="L44" s="129" t="s">
        <v>4</v>
      </c>
      <c r="M44" s="127" t="s">
        <v>19</v>
      </c>
      <c r="N44" s="121" t="s">
        <v>27</v>
      </c>
      <c r="O44" s="121"/>
      <c r="P44" s="121"/>
      <c r="Q44" s="121"/>
      <c r="R44" s="121"/>
      <c r="S44" s="122"/>
      <c r="T44" s="120"/>
      <c r="U44" s="120"/>
      <c r="W44" s="148"/>
      <c r="X44" s="149"/>
      <c r="Y44" s="149"/>
      <c r="Z44" s="149"/>
      <c r="AA44" s="149"/>
      <c r="AB44" s="149"/>
      <c r="AC44" s="149"/>
      <c r="AD44" s="149"/>
      <c r="AE44" s="150"/>
      <c r="BY44" s="45"/>
      <c r="BZ44" s="2"/>
    </row>
    <row r="45" spans="5:78" ht="13.5" customHeight="1" x14ac:dyDescent="0.2">
      <c r="E45" s="120"/>
      <c r="F45" s="120"/>
      <c r="G45" s="120"/>
      <c r="H45" s="120"/>
      <c r="I45" s="120"/>
      <c r="J45" s="120"/>
      <c r="K45" s="120"/>
      <c r="L45" s="130" t="s">
        <v>20</v>
      </c>
      <c r="M45" s="131" t="s">
        <v>156</v>
      </c>
      <c r="N45" s="121"/>
      <c r="O45" s="121"/>
      <c r="P45" s="121"/>
      <c r="Q45" s="121"/>
      <c r="R45" s="121"/>
      <c r="S45" s="122"/>
      <c r="T45" s="120"/>
      <c r="U45" s="120"/>
      <c r="W45" s="148"/>
      <c r="X45" s="149"/>
      <c r="Y45" s="149"/>
      <c r="Z45" s="149"/>
      <c r="AA45" s="149"/>
      <c r="AB45" s="149"/>
      <c r="AC45" s="149"/>
      <c r="AD45" s="149"/>
      <c r="AE45" s="150"/>
      <c r="BY45" s="45"/>
      <c r="BZ45" s="2"/>
    </row>
    <row r="46" spans="5:78" ht="13.5" customHeight="1" x14ac:dyDescent="0.2">
      <c r="E46" s="120"/>
      <c r="F46" s="120"/>
      <c r="G46" s="120"/>
      <c r="H46" s="120"/>
      <c r="I46" s="120"/>
      <c r="J46" s="120"/>
      <c r="K46" s="120"/>
      <c r="L46" s="130" t="s">
        <v>21</v>
      </c>
      <c r="M46" s="131" t="s">
        <v>164</v>
      </c>
      <c r="N46" s="121"/>
      <c r="O46" s="121"/>
      <c r="P46" s="121"/>
      <c r="Q46" s="121"/>
      <c r="R46" s="121"/>
      <c r="S46" s="122"/>
      <c r="T46" s="120"/>
      <c r="U46" s="120"/>
      <c r="W46" s="148"/>
      <c r="X46" s="149"/>
      <c r="Y46" s="149"/>
      <c r="Z46" s="149"/>
      <c r="AA46" s="149"/>
      <c r="AB46" s="149"/>
      <c r="AC46" s="149"/>
      <c r="AD46" s="149"/>
      <c r="AE46" s="150"/>
      <c r="BY46" s="45"/>
      <c r="BZ46" s="45"/>
    </row>
    <row r="47" spans="5:78" ht="13.5" customHeight="1" x14ac:dyDescent="0.2">
      <c r="E47" s="120"/>
      <c r="F47" s="120"/>
      <c r="G47" s="120"/>
      <c r="H47" s="120"/>
      <c r="I47" s="120"/>
      <c r="J47" s="120"/>
      <c r="K47" s="120"/>
      <c r="L47" s="130" t="s">
        <v>22</v>
      </c>
      <c r="M47" s="131" t="s">
        <v>324</v>
      </c>
      <c r="N47" s="121"/>
      <c r="O47" s="121"/>
      <c r="P47" s="121" t="s">
        <v>208</v>
      </c>
      <c r="Q47" s="121"/>
      <c r="R47" s="121"/>
      <c r="S47" s="122"/>
      <c r="T47" s="120"/>
      <c r="U47" s="120"/>
      <c r="W47" s="148"/>
      <c r="X47" s="149"/>
      <c r="Y47" s="149"/>
      <c r="Z47" s="149"/>
      <c r="AA47" s="149"/>
      <c r="AB47" s="149"/>
      <c r="AC47" s="149"/>
      <c r="AD47" s="149"/>
      <c r="AE47" s="150"/>
    </row>
    <row r="48" spans="5:78" ht="13.5" customHeight="1" x14ac:dyDescent="0.2">
      <c r="E48" s="120"/>
      <c r="F48" s="120"/>
      <c r="G48" s="120"/>
      <c r="H48" s="120"/>
      <c r="I48" s="120"/>
      <c r="J48" s="120"/>
      <c r="K48" s="120"/>
      <c r="L48" s="130" t="s">
        <v>5</v>
      </c>
      <c r="M48" s="131" t="s">
        <v>157</v>
      </c>
      <c r="N48" s="121"/>
      <c r="O48" s="121"/>
      <c r="P48" s="121" t="s">
        <v>210</v>
      </c>
      <c r="Q48" s="121"/>
      <c r="R48" s="123">
        <f>$Z$25+$AB$25</f>
        <v>4587.2000000000007</v>
      </c>
      <c r="S48" s="122"/>
      <c r="T48" s="120"/>
      <c r="U48" s="120"/>
      <c r="W48" s="148"/>
      <c r="X48" s="149"/>
      <c r="Y48" s="149"/>
      <c r="Z48" s="149"/>
      <c r="AA48" s="149"/>
      <c r="AB48" s="149"/>
      <c r="AC48" s="149"/>
      <c r="AD48" s="149"/>
      <c r="AE48" s="150"/>
      <c r="BI48" s="2"/>
      <c r="BJ48" s="2"/>
      <c r="BK48" s="2"/>
      <c r="BL48" s="2"/>
      <c r="BM48" s="2"/>
      <c r="BN48" s="2"/>
      <c r="BO48" s="2"/>
    </row>
    <row r="49" spans="5:95" x14ac:dyDescent="0.2">
      <c r="E49" s="120"/>
      <c r="F49" s="120"/>
      <c r="G49" s="120"/>
      <c r="H49" s="120"/>
      <c r="I49" s="120"/>
      <c r="J49" s="120"/>
      <c r="K49" s="120"/>
      <c r="L49" s="130" t="s">
        <v>6</v>
      </c>
      <c r="M49" s="131" t="s">
        <v>158</v>
      </c>
      <c r="N49" s="121"/>
      <c r="O49" s="121"/>
      <c r="P49" s="121" t="s">
        <v>209</v>
      </c>
      <c r="Q49" s="121"/>
      <c r="R49" s="123">
        <f>$Z$26+$AB$26</f>
        <v>3627.407968</v>
      </c>
      <c r="S49" s="122"/>
      <c r="T49" s="120"/>
      <c r="U49" s="120"/>
      <c r="W49" s="148"/>
      <c r="X49" s="149"/>
      <c r="Y49" s="149"/>
      <c r="Z49" s="149"/>
      <c r="AA49" s="149"/>
      <c r="AB49" s="149"/>
      <c r="AC49" s="149"/>
      <c r="AD49" s="149"/>
      <c r="AE49" s="150"/>
      <c r="AM49" s="61"/>
      <c r="BI49" s="2"/>
      <c r="BJ49" s="2"/>
      <c r="BK49" s="2"/>
      <c r="BL49" s="2"/>
      <c r="BM49" s="2"/>
      <c r="BN49" s="2"/>
      <c r="BO49" s="2"/>
    </row>
    <row r="50" spans="5:95" x14ac:dyDescent="0.2">
      <c r="L50" s="38" t="s">
        <v>7</v>
      </c>
      <c r="M50" s="40" t="s">
        <v>159</v>
      </c>
      <c r="O50" s="2"/>
      <c r="P50" s="2"/>
      <c r="Q50" s="2"/>
      <c r="R50" s="2"/>
      <c r="S50" s="3"/>
      <c r="W50" s="148"/>
      <c r="X50" s="149"/>
      <c r="Y50" s="149"/>
      <c r="Z50" s="149"/>
      <c r="AA50" s="149"/>
      <c r="AB50" s="149"/>
      <c r="AC50" s="149"/>
      <c r="AD50" s="149"/>
      <c r="AE50" s="150"/>
      <c r="BI50" s="2"/>
      <c r="BJ50" s="2"/>
      <c r="BK50" s="2"/>
      <c r="BL50" s="2"/>
      <c r="BM50" s="2"/>
      <c r="BN50" s="2"/>
      <c r="BO50" s="2"/>
    </row>
    <row r="51" spans="5:95" ht="13.5" thickBot="1" x14ac:dyDescent="0.25">
      <c r="L51" s="38" t="s">
        <v>23</v>
      </c>
      <c r="M51" s="40" t="s">
        <v>160</v>
      </c>
      <c r="O51" s="2"/>
      <c r="P51" s="2"/>
      <c r="Q51" s="2"/>
      <c r="R51" s="2"/>
      <c r="S51" s="3"/>
      <c r="W51" s="151"/>
      <c r="X51" s="152"/>
      <c r="Y51" s="152"/>
      <c r="Z51" s="152"/>
      <c r="AA51" s="152"/>
      <c r="AB51" s="152"/>
      <c r="AC51" s="152"/>
      <c r="AD51" s="152"/>
      <c r="AE51" s="153"/>
      <c r="BI51" s="2"/>
      <c r="BJ51" s="2"/>
      <c r="BK51" s="2"/>
      <c r="BL51" s="2"/>
      <c r="BM51" s="2"/>
      <c r="BN51" s="2"/>
      <c r="BO51" s="2"/>
    </row>
    <row r="52" spans="5:95" ht="13.5" thickBot="1" x14ac:dyDescent="0.25">
      <c r="L52" s="38" t="s">
        <v>24</v>
      </c>
      <c r="M52" s="40" t="s">
        <v>161</v>
      </c>
      <c r="O52" s="2"/>
      <c r="P52" s="2"/>
      <c r="Q52" s="2"/>
      <c r="R52" s="2"/>
      <c r="S52" s="3"/>
      <c r="BI52" s="2"/>
      <c r="BJ52" s="2"/>
      <c r="BK52" s="2"/>
      <c r="BL52" s="2"/>
      <c r="BM52" s="2"/>
      <c r="BN52" s="2"/>
      <c r="BO52" s="2"/>
      <c r="CG52" s="140" t="s">
        <v>233</v>
      </c>
      <c r="CH52" s="138"/>
      <c r="CI52" s="139"/>
      <c r="CJ52" s="138" t="s">
        <v>232</v>
      </c>
      <c r="CK52" s="138"/>
      <c r="CL52" s="139"/>
    </row>
    <row r="53" spans="5:95" ht="13.5" thickBot="1" x14ac:dyDescent="0.25">
      <c r="L53" s="38" t="s">
        <v>25</v>
      </c>
      <c r="M53" s="40" t="s">
        <v>162</v>
      </c>
      <c r="O53" s="2"/>
      <c r="P53" s="2"/>
      <c r="Q53" s="2"/>
      <c r="R53" s="2"/>
      <c r="S53" s="3"/>
      <c r="AN53" s="11"/>
      <c r="BA53" s="2"/>
      <c r="BB53" s="2"/>
      <c r="BC53" s="2"/>
      <c r="BI53" s="2"/>
      <c r="BJ53" s="2"/>
      <c r="BK53" s="2"/>
      <c r="BL53" s="2"/>
      <c r="BM53" s="2"/>
      <c r="BN53" s="2"/>
      <c r="BO53" s="2"/>
      <c r="CG53" s="69" t="s">
        <v>235</v>
      </c>
      <c r="CH53" s="70" t="s">
        <v>234</v>
      </c>
      <c r="CI53" s="71" t="s">
        <v>237</v>
      </c>
      <c r="CJ53" s="70" t="s">
        <v>235</v>
      </c>
      <c r="CK53" s="70" t="s">
        <v>234</v>
      </c>
      <c r="CL53" s="71" t="s">
        <v>236</v>
      </c>
    </row>
    <row r="54" spans="5:95" ht="28.5" customHeight="1" x14ac:dyDescent="0.3">
      <c r="L54" s="39" t="s">
        <v>26</v>
      </c>
      <c r="M54" s="41" t="s">
        <v>163</v>
      </c>
      <c r="N54" s="2"/>
      <c r="O54" s="2"/>
      <c r="P54" s="2"/>
      <c r="Q54" s="2"/>
      <c r="R54" s="2"/>
      <c r="S54" s="3"/>
      <c r="AM54" s="38" t="s">
        <v>172</v>
      </c>
      <c r="AN54" s="7" t="s">
        <v>46</v>
      </c>
      <c r="AO54" t="s">
        <v>262</v>
      </c>
      <c r="AP54" s="7" t="s">
        <v>40</v>
      </c>
      <c r="AQ54" s="98" t="s">
        <v>82</v>
      </c>
      <c r="AR54" t="s">
        <v>63</v>
      </c>
      <c r="AS54" s="7" t="s">
        <v>61</v>
      </c>
      <c r="AT54" s="36" t="s">
        <v>62</v>
      </c>
      <c r="AU54" s="7" t="s">
        <v>55</v>
      </c>
      <c r="AV54" s="7" t="s">
        <v>59</v>
      </c>
      <c r="AW54" s="36" t="s">
        <v>74</v>
      </c>
      <c r="AX54" s="98" t="s">
        <v>82</v>
      </c>
      <c r="AY54" s="98" t="s">
        <v>287</v>
      </c>
      <c r="AZ54" t="s">
        <v>64</v>
      </c>
      <c r="BA54" t="s">
        <v>65</v>
      </c>
      <c r="BB54" s="98" t="s">
        <v>288</v>
      </c>
      <c r="BC54" t="s">
        <v>290</v>
      </c>
      <c r="BD54" s="98" t="s">
        <v>293</v>
      </c>
      <c r="BE54" s="7" t="s">
        <v>44</v>
      </c>
      <c r="BF54" s="7" t="s">
        <v>36</v>
      </c>
      <c r="BG54" s="36" t="s">
        <v>256</v>
      </c>
      <c r="BH54" s="98" t="s">
        <v>302</v>
      </c>
      <c r="BI54" s="8" t="s">
        <v>49</v>
      </c>
      <c r="BJ54" s="37" t="s">
        <v>174</v>
      </c>
      <c r="BK54" s="8" t="s">
        <v>54</v>
      </c>
      <c r="BL54" s="8" t="s">
        <v>51</v>
      </c>
      <c r="BM54" s="8" t="s">
        <v>52</v>
      </c>
      <c r="BN54" s="8" t="s">
        <v>53</v>
      </c>
      <c r="BO54" s="99" t="s">
        <v>319</v>
      </c>
      <c r="BP54" t="s">
        <v>309</v>
      </c>
      <c r="BQ54" s="98" t="s">
        <v>305</v>
      </c>
      <c r="BR54" s="98" t="s">
        <v>298</v>
      </c>
      <c r="BS54" s="98" t="s">
        <v>295</v>
      </c>
      <c r="BT54" s="100" t="s">
        <v>296</v>
      </c>
      <c r="BU54" s="36" t="s">
        <v>259</v>
      </c>
      <c r="BV54" t="s">
        <v>181</v>
      </c>
      <c r="BW54" t="s">
        <v>180</v>
      </c>
      <c r="BX54" t="s">
        <v>182</v>
      </c>
      <c r="BY54" t="s">
        <v>179</v>
      </c>
      <c r="BZ54" t="s">
        <v>177</v>
      </c>
      <c r="CA54" s="45" t="s">
        <v>178</v>
      </c>
      <c r="CB54" s="102" t="s">
        <v>304</v>
      </c>
      <c r="CC54" s="98" t="s">
        <v>311</v>
      </c>
      <c r="CD54" s="45" t="s">
        <v>204</v>
      </c>
      <c r="CE54" s="98" t="s">
        <v>299</v>
      </c>
      <c r="CF54" s="57" t="s">
        <v>218</v>
      </c>
      <c r="CG54" s="72" t="s">
        <v>220</v>
      </c>
      <c r="CH54" s="72" t="s">
        <v>221</v>
      </c>
      <c r="CI54" s="72" t="s">
        <v>222</v>
      </c>
      <c r="CJ54" s="72" t="s">
        <v>223</v>
      </c>
      <c r="CK54" s="72" t="s">
        <v>224</v>
      </c>
      <c r="CL54" s="72" t="s">
        <v>225</v>
      </c>
      <c r="CM54" s="98" t="s">
        <v>299</v>
      </c>
      <c r="CN54" t="s">
        <v>262</v>
      </c>
      <c r="CO54" s="36" t="s">
        <v>82</v>
      </c>
      <c r="CP54" s="101" t="s">
        <v>300</v>
      </c>
      <c r="CQ54" s="36" t="s">
        <v>281</v>
      </c>
    </row>
    <row r="55" spans="5:95" ht="25.5" customHeight="1" x14ac:dyDescent="0.3">
      <c r="L55" s="2"/>
      <c r="M55" s="2"/>
      <c r="N55" s="2"/>
      <c r="O55" s="2"/>
      <c r="P55" s="2"/>
      <c r="Q55" s="2"/>
      <c r="R55" s="2"/>
      <c r="S55" s="3"/>
      <c r="AM55" s="38" t="s">
        <v>195</v>
      </c>
      <c r="AN55" s="7" t="s">
        <v>47</v>
      </c>
      <c r="AO55" t="s">
        <v>263</v>
      </c>
      <c r="AP55" s="7" t="s">
        <v>41</v>
      </c>
      <c r="AQ55" s="98" t="s">
        <v>269</v>
      </c>
      <c r="AR55" t="s">
        <v>68</v>
      </c>
      <c r="AS55" s="7" t="s">
        <v>70</v>
      </c>
      <c r="AT55" t="s">
        <v>72</v>
      </c>
      <c r="AU55" s="7" t="s">
        <v>35</v>
      </c>
      <c r="AV55" s="7" t="s">
        <v>30</v>
      </c>
      <c r="AW55" s="7" t="s">
        <v>75</v>
      </c>
      <c r="AX55" s="98" t="s">
        <v>269</v>
      </c>
      <c r="AY55" s="7" t="s">
        <v>38</v>
      </c>
      <c r="AZ55" s="7" t="s">
        <v>77</v>
      </c>
      <c r="BA55" s="8" t="s">
        <v>79</v>
      </c>
      <c r="BB55" t="s">
        <v>289</v>
      </c>
      <c r="BC55" t="s">
        <v>291</v>
      </c>
      <c r="BD55" s="99" t="s">
        <v>292</v>
      </c>
      <c r="BE55" s="98" t="s">
        <v>294</v>
      </c>
      <c r="BF55" s="36" t="s">
        <v>173</v>
      </c>
      <c r="BG55" s="36" t="s">
        <v>257</v>
      </c>
      <c r="BH55" s="98" t="s">
        <v>303</v>
      </c>
      <c r="BI55" s="8" t="s">
        <v>151</v>
      </c>
      <c r="BJ55" s="37" t="s">
        <v>175</v>
      </c>
      <c r="BK55" s="37" t="s">
        <v>201</v>
      </c>
      <c r="BL55" s="37" t="s">
        <v>152</v>
      </c>
      <c r="BM55" s="37" t="s">
        <v>153</v>
      </c>
      <c r="BN55" s="37" t="s">
        <v>154</v>
      </c>
      <c r="BO55" s="99" t="s">
        <v>319</v>
      </c>
      <c r="BP55" s="98" t="s">
        <v>310</v>
      </c>
      <c r="BQ55" s="98" t="s">
        <v>305</v>
      </c>
      <c r="BR55" s="36" t="s">
        <v>155</v>
      </c>
      <c r="BS55" s="98" t="s">
        <v>295</v>
      </c>
      <c r="BT55" s="100" t="s">
        <v>297</v>
      </c>
      <c r="BU55" s="36" t="s">
        <v>261</v>
      </c>
      <c r="BV55" t="s">
        <v>183</v>
      </c>
      <c r="BW55" t="s">
        <v>184</v>
      </c>
      <c r="BX55" t="s">
        <v>185</v>
      </c>
      <c r="BY55" t="s">
        <v>186</v>
      </c>
      <c r="BZ55" s="36" t="s">
        <v>203</v>
      </c>
      <c r="CA55" s="36" t="s">
        <v>202</v>
      </c>
      <c r="CB55" s="98" t="s">
        <v>301</v>
      </c>
      <c r="CC55" s="98" t="s">
        <v>311</v>
      </c>
      <c r="CD55" s="45" t="s">
        <v>205</v>
      </c>
      <c r="CE55" s="36" t="s">
        <v>206</v>
      </c>
      <c r="CF55" s="57" t="s">
        <v>215</v>
      </c>
      <c r="CG55" s="73" t="s">
        <v>226</v>
      </c>
      <c r="CH55" s="73" t="s">
        <v>227</v>
      </c>
      <c r="CI55" s="73" t="s">
        <v>228</v>
      </c>
      <c r="CJ55" s="73" t="s">
        <v>229</v>
      </c>
      <c r="CK55" s="73" t="s">
        <v>230</v>
      </c>
      <c r="CL55" s="73" t="s">
        <v>231</v>
      </c>
      <c r="CM55" s="98" t="s">
        <v>206</v>
      </c>
      <c r="CN55" t="s">
        <v>263</v>
      </c>
      <c r="CO55" t="s">
        <v>269</v>
      </c>
      <c r="CP55" s="101" t="s">
        <v>300</v>
      </c>
      <c r="CQ55" s="36" t="s">
        <v>280</v>
      </c>
    </row>
    <row r="56" spans="5:95" ht="23.25" customHeight="1" x14ac:dyDescent="0.3">
      <c r="L56" s="2"/>
      <c r="M56" s="2" t="str">
        <f>VLOOKUP(Z3,AM54:BD64,3,FALSE)</f>
        <v>Your product</v>
      </c>
      <c r="N56" s="2" t="str">
        <f>VLOOKUP(Z3,AM54:BD64,5,FALSE)</f>
        <v>Top product</v>
      </c>
      <c r="O56" s="2"/>
      <c r="P56" s="2"/>
      <c r="Q56" s="2"/>
      <c r="R56" s="2"/>
      <c r="S56" s="3"/>
      <c r="AM56" s="38" t="s">
        <v>196</v>
      </c>
      <c r="AN56" s="7" t="s">
        <v>47</v>
      </c>
      <c r="AO56" t="s">
        <v>263</v>
      </c>
      <c r="AP56" s="7" t="s">
        <v>41</v>
      </c>
      <c r="AQ56" s="98" t="s">
        <v>269</v>
      </c>
      <c r="AR56" t="s">
        <v>68</v>
      </c>
      <c r="AS56" s="7" t="s">
        <v>70</v>
      </c>
      <c r="AT56" t="s">
        <v>72</v>
      </c>
      <c r="AU56" s="7" t="s">
        <v>35</v>
      </c>
      <c r="AV56" s="7" t="s">
        <v>30</v>
      </c>
      <c r="AW56" s="7" t="s">
        <v>75</v>
      </c>
      <c r="AX56" s="98" t="s">
        <v>269</v>
      </c>
      <c r="AY56" s="7" t="s">
        <v>38</v>
      </c>
      <c r="AZ56" s="7" t="s">
        <v>77</v>
      </c>
      <c r="BA56" s="8" t="s">
        <v>79</v>
      </c>
      <c r="BB56" t="s">
        <v>289</v>
      </c>
      <c r="BC56" t="s">
        <v>291</v>
      </c>
      <c r="BD56" s="99" t="s">
        <v>292</v>
      </c>
      <c r="BE56" s="98" t="s">
        <v>294</v>
      </c>
      <c r="BF56" s="36" t="s">
        <v>173</v>
      </c>
      <c r="BG56" s="36" t="s">
        <v>257</v>
      </c>
      <c r="BH56" s="98" t="s">
        <v>303</v>
      </c>
      <c r="BI56" s="8" t="s">
        <v>151</v>
      </c>
      <c r="BJ56" s="37" t="s">
        <v>175</v>
      </c>
      <c r="BK56" s="37" t="s">
        <v>201</v>
      </c>
      <c r="BL56" s="37" t="s">
        <v>152</v>
      </c>
      <c r="BM56" s="37" t="s">
        <v>153</v>
      </c>
      <c r="BN56" s="37" t="s">
        <v>154</v>
      </c>
      <c r="BO56" s="99" t="s">
        <v>322</v>
      </c>
      <c r="BP56" s="98" t="s">
        <v>310</v>
      </c>
      <c r="BQ56" s="98" t="s">
        <v>306</v>
      </c>
      <c r="BR56" s="36" t="s">
        <v>155</v>
      </c>
      <c r="BS56" s="98" t="s">
        <v>295</v>
      </c>
      <c r="BT56" s="100" t="s">
        <v>296</v>
      </c>
      <c r="BU56" s="36" t="s">
        <v>261</v>
      </c>
      <c r="BV56" t="s">
        <v>183</v>
      </c>
      <c r="BW56" t="s">
        <v>184</v>
      </c>
      <c r="BX56" t="s">
        <v>185</v>
      </c>
      <c r="BY56" t="s">
        <v>186</v>
      </c>
      <c r="BZ56" s="36" t="s">
        <v>203</v>
      </c>
      <c r="CA56" s="36" t="s">
        <v>202</v>
      </c>
      <c r="CB56" s="98" t="s">
        <v>301</v>
      </c>
      <c r="CC56" s="98" t="s">
        <v>313</v>
      </c>
      <c r="CD56" s="45" t="s">
        <v>204</v>
      </c>
      <c r="CE56" s="36" t="s">
        <v>206</v>
      </c>
      <c r="CF56" s="57" t="s">
        <v>215</v>
      </c>
      <c r="CG56" s="22" t="s">
        <v>238</v>
      </c>
      <c r="CH56" s="73" t="s">
        <v>239</v>
      </c>
      <c r="CI56" s="22" t="s">
        <v>240</v>
      </c>
      <c r="CJ56" s="22" t="s">
        <v>241</v>
      </c>
      <c r="CK56" s="22" t="s">
        <v>242</v>
      </c>
      <c r="CL56" s="22" t="s">
        <v>243</v>
      </c>
      <c r="CM56" s="98" t="s">
        <v>206</v>
      </c>
      <c r="CN56" t="s">
        <v>263</v>
      </c>
      <c r="CO56" t="s">
        <v>269</v>
      </c>
      <c r="CP56" s="101" t="s">
        <v>300</v>
      </c>
      <c r="CQ56" s="36" t="s">
        <v>280</v>
      </c>
    </row>
    <row r="57" spans="5:95" ht="16.5" customHeight="1" x14ac:dyDescent="0.3">
      <c r="L57" s="2" t="str">
        <f>VLOOKUP(Z3,AM54:CV64,53,FALSE)</f>
        <v>Purchase price</v>
      </c>
      <c r="M57" s="2">
        <f>$Z$25</f>
        <v>2000</v>
      </c>
      <c r="N57" s="2">
        <f>$Z$22</f>
        <v>2500</v>
      </c>
      <c r="O57" s="2"/>
      <c r="Q57" s="2"/>
      <c r="R57" s="2"/>
      <c r="S57" s="3"/>
      <c r="AM57" s="38" t="s">
        <v>197</v>
      </c>
      <c r="AN57" s="7" t="s">
        <v>48</v>
      </c>
      <c r="AO57" t="s">
        <v>271</v>
      </c>
      <c r="AP57" s="7" t="s">
        <v>42</v>
      </c>
      <c r="AQ57" s="7" t="s">
        <v>67</v>
      </c>
      <c r="AR57" t="s">
        <v>69</v>
      </c>
      <c r="AS57" s="7" t="s">
        <v>71</v>
      </c>
      <c r="AT57" t="s">
        <v>73</v>
      </c>
      <c r="AU57" s="7" t="s">
        <v>56</v>
      </c>
      <c r="AV57" s="7" t="s">
        <v>60</v>
      </c>
      <c r="AW57" s="7" t="s">
        <v>76</v>
      </c>
      <c r="AX57" t="s">
        <v>67</v>
      </c>
      <c r="AY57" s="7" t="s">
        <v>39</v>
      </c>
      <c r="AZ57" t="s">
        <v>78</v>
      </c>
      <c r="BA57" t="s">
        <v>80</v>
      </c>
      <c r="BB57" s="36" t="s">
        <v>266</v>
      </c>
      <c r="BC57" t="s">
        <v>268</v>
      </c>
      <c r="BD57" s="7" t="s">
        <v>58</v>
      </c>
      <c r="BE57" s="7" t="s">
        <v>45</v>
      </c>
      <c r="BF57" s="7" t="s">
        <v>37</v>
      </c>
      <c r="BG57" s="36" t="s">
        <v>258</v>
      </c>
      <c r="BH57" s="36" t="s">
        <v>273</v>
      </c>
      <c r="BI57" s="8" t="s">
        <v>146</v>
      </c>
      <c r="BJ57" s="36" t="s">
        <v>176</v>
      </c>
      <c r="BK57" s="8" t="s">
        <v>147</v>
      </c>
      <c r="BL57" s="8" t="s">
        <v>148</v>
      </c>
      <c r="BM57" s="8" t="s">
        <v>149</v>
      </c>
      <c r="BN57" s="8" t="s">
        <v>150</v>
      </c>
      <c r="BO57" s="99" t="s">
        <v>322</v>
      </c>
      <c r="BP57" t="s">
        <v>309</v>
      </c>
      <c r="BQ57" s="98" t="s">
        <v>306</v>
      </c>
      <c r="BR57" s="36" t="s">
        <v>166</v>
      </c>
      <c r="BS57" t="s">
        <v>276</v>
      </c>
      <c r="BT57" s="81" t="s">
        <v>284</v>
      </c>
      <c r="BU57" s="36" t="s">
        <v>260</v>
      </c>
      <c r="BV57" t="s">
        <v>188</v>
      </c>
      <c r="BW57" t="s">
        <v>189</v>
      </c>
      <c r="BX57" t="s">
        <v>190</v>
      </c>
      <c r="BY57" t="s">
        <v>191</v>
      </c>
      <c r="BZ57" t="s">
        <v>192</v>
      </c>
      <c r="CA57" s="45" t="s">
        <v>193</v>
      </c>
      <c r="CB57" s="60" t="s">
        <v>274</v>
      </c>
      <c r="CC57" s="98" t="s">
        <v>313</v>
      </c>
      <c r="CD57" s="45" t="s">
        <v>204</v>
      </c>
      <c r="CE57" s="36" t="s">
        <v>207</v>
      </c>
      <c r="CF57" s="57" t="s">
        <v>217</v>
      </c>
      <c r="CG57" s="22" t="s">
        <v>244</v>
      </c>
      <c r="CH57" s="22" t="s">
        <v>245</v>
      </c>
      <c r="CI57" s="22" t="s">
        <v>246</v>
      </c>
      <c r="CJ57" s="22" t="s">
        <v>247</v>
      </c>
      <c r="CK57" s="22" t="s">
        <v>248</v>
      </c>
      <c r="CL57" s="22" t="s">
        <v>249</v>
      </c>
      <c r="CM57" s="36" t="s">
        <v>286</v>
      </c>
      <c r="CN57" t="s">
        <v>264</v>
      </c>
      <c r="CO57" s="36" t="s">
        <v>83</v>
      </c>
      <c r="CP57" s="81" t="s">
        <v>284</v>
      </c>
      <c r="CQ57" s="36" t="s">
        <v>282</v>
      </c>
    </row>
    <row r="58" spans="5:95" ht="21.75" customHeight="1" x14ac:dyDescent="0.3">
      <c r="L58" s="2" t="str">
        <f>VLOOKUP(Z3,AM54:BD64,8,FALSE)</f>
        <v>Energy costs</v>
      </c>
      <c r="M58" s="15">
        <f>$AB$25</f>
        <v>2587.2000000000003</v>
      </c>
      <c r="N58" s="15">
        <f>$AB$26</f>
        <v>1127.407968</v>
      </c>
      <c r="O58" s="2"/>
      <c r="P58" s="2"/>
      <c r="Q58" s="2"/>
      <c r="R58" s="2"/>
      <c r="S58" s="3"/>
      <c r="AM58" s="38" t="s">
        <v>198</v>
      </c>
      <c r="AN58" s="7" t="s">
        <v>48</v>
      </c>
      <c r="AO58" t="s">
        <v>271</v>
      </c>
      <c r="AP58" s="7" t="s">
        <v>42</v>
      </c>
      <c r="AQ58" s="7" t="s">
        <v>67</v>
      </c>
      <c r="AR58" t="s">
        <v>69</v>
      </c>
      <c r="AS58" s="7" t="s">
        <v>71</v>
      </c>
      <c r="AT58" t="s">
        <v>73</v>
      </c>
      <c r="AU58" s="7" t="s">
        <v>56</v>
      </c>
      <c r="AV58" s="7" t="s">
        <v>60</v>
      </c>
      <c r="AW58" s="7" t="s">
        <v>76</v>
      </c>
      <c r="AX58" t="s">
        <v>67</v>
      </c>
      <c r="AY58" s="7" t="s">
        <v>39</v>
      </c>
      <c r="AZ58" t="s">
        <v>78</v>
      </c>
      <c r="BA58" t="s">
        <v>80</v>
      </c>
      <c r="BB58" s="36" t="s">
        <v>266</v>
      </c>
      <c r="BC58" t="s">
        <v>268</v>
      </c>
      <c r="BD58" s="7" t="s">
        <v>58</v>
      </c>
      <c r="BE58" s="7" t="s">
        <v>45</v>
      </c>
      <c r="BF58" s="7" t="s">
        <v>37</v>
      </c>
      <c r="BG58" s="36" t="s">
        <v>258</v>
      </c>
      <c r="BH58" s="36" t="s">
        <v>273</v>
      </c>
      <c r="BI58" s="8" t="s">
        <v>146</v>
      </c>
      <c r="BJ58" s="36" t="s">
        <v>176</v>
      </c>
      <c r="BK58" s="8" t="s">
        <v>147</v>
      </c>
      <c r="BL58" s="8" t="s">
        <v>148</v>
      </c>
      <c r="BM58" s="8" t="s">
        <v>149</v>
      </c>
      <c r="BN58" s="8" t="s">
        <v>150</v>
      </c>
      <c r="BO58" s="99" t="s">
        <v>322</v>
      </c>
      <c r="BP58" t="s">
        <v>309</v>
      </c>
      <c r="BQ58" s="98" t="s">
        <v>306</v>
      </c>
      <c r="BR58" s="36" t="s">
        <v>166</v>
      </c>
      <c r="BS58" t="s">
        <v>276</v>
      </c>
      <c r="BT58" s="81" t="s">
        <v>284</v>
      </c>
      <c r="BU58" s="36" t="s">
        <v>260</v>
      </c>
      <c r="BV58" t="s">
        <v>188</v>
      </c>
      <c r="BW58" t="s">
        <v>189</v>
      </c>
      <c r="BX58" t="s">
        <v>190</v>
      </c>
      <c r="BY58" t="s">
        <v>191</v>
      </c>
      <c r="BZ58" t="s">
        <v>192</v>
      </c>
      <c r="CA58" s="45" t="s">
        <v>193</v>
      </c>
      <c r="CB58" s="60" t="s">
        <v>274</v>
      </c>
      <c r="CC58" s="98" t="s">
        <v>313</v>
      </c>
      <c r="CD58" s="45" t="s">
        <v>204</v>
      </c>
      <c r="CE58" s="36" t="s">
        <v>207</v>
      </c>
      <c r="CF58" s="57" t="s">
        <v>217</v>
      </c>
      <c r="CG58" s="22" t="s">
        <v>250</v>
      </c>
      <c r="CH58" s="22" t="s">
        <v>251</v>
      </c>
      <c r="CI58" s="22" t="s">
        <v>252</v>
      </c>
      <c r="CJ58" s="22" t="s">
        <v>253</v>
      </c>
      <c r="CK58" s="22" t="s">
        <v>254</v>
      </c>
      <c r="CL58" s="22" t="s">
        <v>255</v>
      </c>
      <c r="CM58" s="36" t="s">
        <v>286</v>
      </c>
      <c r="CN58" t="s">
        <v>264</v>
      </c>
      <c r="CO58" s="36" t="s">
        <v>83</v>
      </c>
      <c r="CP58" s="81" t="s">
        <v>284</v>
      </c>
      <c r="CQ58" s="36" t="s">
        <v>282</v>
      </c>
    </row>
    <row r="59" spans="5:95" ht="24" customHeight="1" x14ac:dyDescent="0.3">
      <c r="L59" s="2"/>
      <c r="M59" s="2"/>
      <c r="N59" s="2"/>
      <c r="O59" s="2"/>
      <c r="Q59" s="2"/>
      <c r="R59" s="2"/>
      <c r="S59" s="3"/>
      <c r="AM59" s="38" t="s">
        <v>170</v>
      </c>
      <c r="AN59" s="7" t="s">
        <v>48</v>
      </c>
      <c r="AO59" t="s">
        <v>271</v>
      </c>
      <c r="AP59" s="7" t="s">
        <v>42</v>
      </c>
      <c r="AQ59" s="7" t="s">
        <v>67</v>
      </c>
      <c r="AR59" t="s">
        <v>69</v>
      </c>
      <c r="AS59" s="7" t="s">
        <v>71</v>
      </c>
      <c r="AT59" t="s">
        <v>73</v>
      </c>
      <c r="AU59" s="7" t="s">
        <v>56</v>
      </c>
      <c r="AV59" s="7" t="s">
        <v>60</v>
      </c>
      <c r="AW59" s="7" t="s">
        <v>76</v>
      </c>
      <c r="AX59" t="s">
        <v>67</v>
      </c>
      <c r="AY59" s="7" t="s">
        <v>39</v>
      </c>
      <c r="AZ59" t="s">
        <v>78</v>
      </c>
      <c r="BA59" t="s">
        <v>80</v>
      </c>
      <c r="BB59" s="36" t="s">
        <v>266</v>
      </c>
      <c r="BC59" t="s">
        <v>268</v>
      </c>
      <c r="BD59" s="7" t="s">
        <v>58</v>
      </c>
      <c r="BE59" s="7" t="s">
        <v>45</v>
      </c>
      <c r="BF59" s="7" t="s">
        <v>37</v>
      </c>
      <c r="BG59" s="36" t="s">
        <v>258</v>
      </c>
      <c r="BH59" s="36" t="s">
        <v>273</v>
      </c>
      <c r="BI59" s="8" t="s">
        <v>146</v>
      </c>
      <c r="BJ59" s="36" t="s">
        <v>176</v>
      </c>
      <c r="BK59" s="8" t="s">
        <v>147</v>
      </c>
      <c r="BL59" s="8" t="s">
        <v>148</v>
      </c>
      <c r="BM59" s="8" t="s">
        <v>149</v>
      </c>
      <c r="BN59" s="8" t="s">
        <v>150</v>
      </c>
      <c r="BO59" s="99" t="s">
        <v>321</v>
      </c>
      <c r="BP59" t="s">
        <v>309</v>
      </c>
      <c r="BQ59" s="98" t="s">
        <v>308</v>
      </c>
      <c r="BR59" s="36" t="s">
        <v>166</v>
      </c>
      <c r="BS59" t="s">
        <v>276</v>
      </c>
      <c r="BT59" s="81" t="s">
        <v>284</v>
      </c>
      <c r="BU59" s="36" t="s">
        <v>260</v>
      </c>
      <c r="BV59" t="s">
        <v>188</v>
      </c>
      <c r="BW59" t="s">
        <v>189</v>
      </c>
      <c r="BX59" t="s">
        <v>190</v>
      </c>
      <c r="BY59" t="s">
        <v>191</v>
      </c>
      <c r="BZ59" t="s">
        <v>192</v>
      </c>
      <c r="CA59" s="45" t="s">
        <v>193</v>
      </c>
      <c r="CB59" s="60" t="s">
        <v>274</v>
      </c>
      <c r="CC59" s="98" t="s">
        <v>314</v>
      </c>
      <c r="CD59" s="45" t="s">
        <v>204</v>
      </c>
      <c r="CE59" s="36" t="s">
        <v>207</v>
      </c>
      <c r="CF59" s="57" t="s">
        <v>217</v>
      </c>
      <c r="CG59" s="22"/>
      <c r="CH59" s="22"/>
      <c r="CI59" s="22"/>
      <c r="CJ59" s="22"/>
      <c r="CK59" s="22"/>
      <c r="CL59" s="22"/>
      <c r="CM59" s="36" t="s">
        <v>286</v>
      </c>
      <c r="CN59" t="s">
        <v>264</v>
      </c>
      <c r="CO59" s="36" t="s">
        <v>83</v>
      </c>
      <c r="CP59" s="81" t="s">
        <v>284</v>
      </c>
      <c r="CQ59" s="36" t="s">
        <v>282</v>
      </c>
    </row>
    <row r="60" spans="5:95" ht="22.5" customHeight="1" x14ac:dyDescent="0.3">
      <c r="R60" s="2"/>
      <c r="S60" s="3"/>
      <c r="AM60" s="1" t="s">
        <v>31</v>
      </c>
      <c r="AN60" s="7" t="s">
        <v>48</v>
      </c>
      <c r="AO60" t="s">
        <v>271</v>
      </c>
      <c r="AP60" s="7" t="s">
        <v>42</v>
      </c>
      <c r="AQ60" s="7" t="s">
        <v>67</v>
      </c>
      <c r="AR60" t="s">
        <v>69</v>
      </c>
      <c r="AS60" s="7" t="s">
        <v>71</v>
      </c>
      <c r="AT60" t="s">
        <v>73</v>
      </c>
      <c r="AU60" s="7" t="s">
        <v>56</v>
      </c>
      <c r="AV60" s="7" t="s">
        <v>60</v>
      </c>
      <c r="AW60" s="7" t="s">
        <v>76</v>
      </c>
      <c r="AX60" t="s">
        <v>67</v>
      </c>
      <c r="AY60" s="7" t="s">
        <v>39</v>
      </c>
      <c r="AZ60" t="s">
        <v>78</v>
      </c>
      <c r="BA60" t="s">
        <v>80</v>
      </c>
      <c r="BB60" s="36" t="s">
        <v>266</v>
      </c>
      <c r="BC60" t="s">
        <v>268</v>
      </c>
      <c r="BD60" s="7" t="s">
        <v>58</v>
      </c>
      <c r="BE60" s="7" t="s">
        <v>45</v>
      </c>
      <c r="BF60" s="7" t="s">
        <v>37</v>
      </c>
      <c r="BG60" s="36" t="s">
        <v>258</v>
      </c>
      <c r="BH60" s="36" t="s">
        <v>273</v>
      </c>
      <c r="BI60" s="37" t="s">
        <v>146</v>
      </c>
      <c r="BJ60" s="36" t="s">
        <v>176</v>
      </c>
      <c r="BK60" s="8" t="s">
        <v>147</v>
      </c>
      <c r="BL60" s="8" t="s">
        <v>148</v>
      </c>
      <c r="BM60" s="8" t="s">
        <v>149</v>
      </c>
      <c r="BN60" s="8" t="s">
        <v>150</v>
      </c>
      <c r="BO60" s="99" t="s">
        <v>319</v>
      </c>
      <c r="BP60" t="s">
        <v>309</v>
      </c>
      <c r="BQ60" s="98" t="s">
        <v>305</v>
      </c>
      <c r="BR60" s="36" t="s">
        <v>166</v>
      </c>
      <c r="BS60" t="s">
        <v>276</v>
      </c>
      <c r="BT60" s="81" t="s">
        <v>284</v>
      </c>
      <c r="BU60" s="36" t="s">
        <v>260</v>
      </c>
      <c r="BV60" t="s">
        <v>188</v>
      </c>
      <c r="BW60" t="s">
        <v>189</v>
      </c>
      <c r="BX60" t="s">
        <v>190</v>
      </c>
      <c r="BY60" t="s">
        <v>191</v>
      </c>
      <c r="BZ60" t="s">
        <v>192</v>
      </c>
      <c r="CA60" s="45" t="s">
        <v>193</v>
      </c>
      <c r="CB60" s="60" t="s">
        <v>274</v>
      </c>
      <c r="CC60" s="98" t="s">
        <v>311</v>
      </c>
      <c r="CD60" s="45" t="s">
        <v>204</v>
      </c>
      <c r="CE60" s="36" t="s">
        <v>207</v>
      </c>
      <c r="CF60" s="57" t="s">
        <v>216</v>
      </c>
      <c r="CG60" s="22"/>
      <c r="CH60" s="22"/>
      <c r="CI60" s="22"/>
      <c r="CJ60" s="22"/>
      <c r="CK60" s="22"/>
      <c r="CL60" s="22"/>
      <c r="CM60" s="36" t="s">
        <v>286</v>
      </c>
      <c r="CN60" t="s">
        <v>264</v>
      </c>
      <c r="CO60" s="36" t="s">
        <v>83</v>
      </c>
      <c r="CP60" s="81" t="s">
        <v>284</v>
      </c>
      <c r="CQ60" s="36" t="s">
        <v>282</v>
      </c>
    </row>
    <row r="61" spans="5:95" ht="48.75" customHeight="1" x14ac:dyDescent="0.3">
      <c r="R61" s="2"/>
      <c r="S61" s="3"/>
      <c r="AM61" s="38" t="s">
        <v>167</v>
      </c>
      <c r="AN61" s="7" t="s">
        <v>47</v>
      </c>
      <c r="AO61" t="s">
        <v>270</v>
      </c>
      <c r="AP61" s="7" t="s">
        <v>41</v>
      </c>
      <c r="AQ61" t="s">
        <v>66</v>
      </c>
      <c r="AR61" t="s">
        <v>68</v>
      </c>
      <c r="AS61" s="7" t="s">
        <v>70</v>
      </c>
      <c r="AT61" t="s">
        <v>72</v>
      </c>
      <c r="AU61" s="7" t="s">
        <v>35</v>
      </c>
      <c r="AV61" s="7" t="s">
        <v>30</v>
      </c>
      <c r="AW61" s="7" t="s">
        <v>75</v>
      </c>
      <c r="AX61" s="7" t="s">
        <v>66</v>
      </c>
      <c r="AY61" s="7" t="s">
        <v>38</v>
      </c>
      <c r="AZ61" s="7" t="s">
        <v>77</v>
      </c>
      <c r="BA61" s="8" t="s">
        <v>79</v>
      </c>
      <c r="BB61" t="s">
        <v>265</v>
      </c>
      <c r="BC61" t="s">
        <v>267</v>
      </c>
      <c r="BD61" s="8" t="s">
        <v>57</v>
      </c>
      <c r="BE61" s="7" t="s">
        <v>43</v>
      </c>
      <c r="BF61" s="36" t="s">
        <v>173</v>
      </c>
      <c r="BG61" s="36" t="s">
        <v>257</v>
      </c>
      <c r="BH61" s="36" t="s">
        <v>272</v>
      </c>
      <c r="BI61" s="8" t="s">
        <v>151</v>
      </c>
      <c r="BJ61" s="37" t="s">
        <v>175</v>
      </c>
      <c r="BK61" s="37" t="s">
        <v>201</v>
      </c>
      <c r="BL61" s="37" t="s">
        <v>152</v>
      </c>
      <c r="BM61" s="37" t="s">
        <v>153</v>
      </c>
      <c r="BN61" s="37" t="s">
        <v>154</v>
      </c>
      <c r="BO61" s="99" t="s">
        <v>319</v>
      </c>
      <c r="BP61" s="98" t="s">
        <v>310</v>
      </c>
      <c r="BQ61" s="98" t="s">
        <v>305</v>
      </c>
      <c r="BR61" s="36" t="s">
        <v>155</v>
      </c>
      <c r="BS61" t="s">
        <v>276</v>
      </c>
      <c r="BT61" s="81" t="s">
        <v>283</v>
      </c>
      <c r="BU61" s="36" t="s">
        <v>261</v>
      </c>
      <c r="BV61" t="s">
        <v>183</v>
      </c>
      <c r="BW61" t="s">
        <v>184</v>
      </c>
      <c r="BX61" s="36" t="s">
        <v>200</v>
      </c>
      <c r="BY61" t="s">
        <v>186</v>
      </c>
      <c r="BZ61" t="s">
        <v>187</v>
      </c>
      <c r="CA61" s="36" t="s">
        <v>202</v>
      </c>
      <c r="CB61" s="36" t="s">
        <v>275</v>
      </c>
      <c r="CC61" s="98" t="s">
        <v>311</v>
      </c>
      <c r="CD61" s="45" t="s">
        <v>204</v>
      </c>
      <c r="CE61" s="36" t="s">
        <v>206</v>
      </c>
      <c r="CF61" s="57" t="s">
        <v>215</v>
      </c>
      <c r="CG61" s="22"/>
      <c r="CH61" s="22"/>
      <c r="CI61" s="22"/>
      <c r="CJ61" s="22"/>
      <c r="CK61" s="22"/>
      <c r="CL61" s="22"/>
      <c r="CM61" s="36" t="s">
        <v>285</v>
      </c>
      <c r="CN61" t="s">
        <v>263</v>
      </c>
      <c r="CO61" t="s">
        <v>269</v>
      </c>
      <c r="CP61" s="82" t="s">
        <v>277</v>
      </c>
      <c r="CQ61" s="36" t="s">
        <v>280</v>
      </c>
    </row>
    <row r="62" spans="5:95" ht="29.25" customHeight="1" x14ac:dyDescent="0.3">
      <c r="R62" s="2"/>
      <c r="S62" s="3"/>
      <c r="AM62" s="1" t="s">
        <v>168</v>
      </c>
      <c r="AN62" s="7" t="s">
        <v>48</v>
      </c>
      <c r="AO62" t="s">
        <v>271</v>
      </c>
      <c r="AP62" s="7" t="s">
        <v>42</v>
      </c>
      <c r="AQ62" s="7" t="s">
        <v>67</v>
      </c>
      <c r="AR62" t="s">
        <v>69</v>
      </c>
      <c r="AS62" s="7" t="s">
        <v>71</v>
      </c>
      <c r="AT62" t="s">
        <v>73</v>
      </c>
      <c r="AU62" s="7" t="s">
        <v>56</v>
      </c>
      <c r="AV62" s="7" t="s">
        <v>60</v>
      </c>
      <c r="AW62" s="7" t="s">
        <v>76</v>
      </c>
      <c r="AX62" t="s">
        <v>67</v>
      </c>
      <c r="AY62" s="7" t="s">
        <v>39</v>
      </c>
      <c r="AZ62" t="s">
        <v>78</v>
      </c>
      <c r="BA62" t="s">
        <v>80</v>
      </c>
      <c r="BB62" s="36" t="s">
        <v>266</v>
      </c>
      <c r="BC62" t="s">
        <v>268</v>
      </c>
      <c r="BD62" s="7" t="s">
        <v>58</v>
      </c>
      <c r="BE62" s="7" t="s">
        <v>45</v>
      </c>
      <c r="BF62" s="7" t="s">
        <v>37</v>
      </c>
      <c r="BG62" s="36" t="s">
        <v>258</v>
      </c>
      <c r="BH62" s="36" t="s">
        <v>273</v>
      </c>
      <c r="BI62" s="8" t="s">
        <v>146</v>
      </c>
      <c r="BJ62" s="36" t="s">
        <v>176</v>
      </c>
      <c r="BK62" s="8" t="s">
        <v>147</v>
      </c>
      <c r="BL62" s="8" t="s">
        <v>148</v>
      </c>
      <c r="BM62" s="8" t="s">
        <v>149</v>
      </c>
      <c r="BN62" s="8" t="s">
        <v>150</v>
      </c>
      <c r="BO62" s="99" t="s">
        <v>319</v>
      </c>
      <c r="BP62" t="s">
        <v>309</v>
      </c>
      <c r="BQ62" s="98" t="s">
        <v>305</v>
      </c>
      <c r="BR62" s="36" t="s">
        <v>166</v>
      </c>
      <c r="BS62" t="s">
        <v>276</v>
      </c>
      <c r="BT62" s="81" t="s">
        <v>284</v>
      </c>
      <c r="BU62" s="36" t="s">
        <v>260</v>
      </c>
      <c r="BV62" t="s">
        <v>188</v>
      </c>
      <c r="BW62" t="s">
        <v>189</v>
      </c>
      <c r="BX62" t="s">
        <v>190</v>
      </c>
      <c r="BY62" t="s">
        <v>191</v>
      </c>
      <c r="BZ62" t="s">
        <v>192</v>
      </c>
      <c r="CA62" s="45" t="s">
        <v>193</v>
      </c>
      <c r="CB62" s="60" t="s">
        <v>274</v>
      </c>
      <c r="CC62" s="98" t="s">
        <v>311</v>
      </c>
      <c r="CD62" s="45" t="s">
        <v>204</v>
      </c>
      <c r="CE62" s="36" t="s">
        <v>207</v>
      </c>
      <c r="CF62" s="57" t="s">
        <v>217</v>
      </c>
      <c r="CG62" s="22"/>
      <c r="CH62" s="22"/>
      <c r="CI62" s="22"/>
      <c r="CJ62" s="22"/>
      <c r="CK62" s="22"/>
      <c r="CL62" s="22"/>
      <c r="CM62" s="36" t="s">
        <v>286</v>
      </c>
      <c r="CN62" t="s">
        <v>264</v>
      </c>
      <c r="CO62" s="36" t="s">
        <v>83</v>
      </c>
      <c r="CP62" s="81" t="s">
        <v>284</v>
      </c>
      <c r="CQ62" s="36" t="s">
        <v>282</v>
      </c>
    </row>
    <row r="63" spans="5:95" ht="27" customHeight="1" x14ac:dyDescent="0.3">
      <c r="R63" s="2"/>
      <c r="S63" s="3"/>
      <c r="AM63" s="38" t="s">
        <v>169</v>
      </c>
      <c r="AN63" s="7" t="s">
        <v>48</v>
      </c>
      <c r="AO63" t="s">
        <v>271</v>
      </c>
      <c r="AP63" s="7" t="s">
        <v>42</v>
      </c>
      <c r="AQ63" s="7" t="s">
        <v>67</v>
      </c>
      <c r="AR63" t="s">
        <v>69</v>
      </c>
      <c r="AS63" s="7" t="s">
        <v>71</v>
      </c>
      <c r="AT63" t="s">
        <v>73</v>
      </c>
      <c r="AU63" s="7" t="s">
        <v>56</v>
      </c>
      <c r="AV63" s="7" t="s">
        <v>60</v>
      </c>
      <c r="AW63" s="7" t="s">
        <v>76</v>
      </c>
      <c r="AX63" t="s">
        <v>67</v>
      </c>
      <c r="AY63" s="7" t="s">
        <v>39</v>
      </c>
      <c r="AZ63" t="s">
        <v>78</v>
      </c>
      <c r="BA63" t="s">
        <v>80</v>
      </c>
      <c r="BB63" s="36" t="s">
        <v>266</v>
      </c>
      <c r="BC63" t="s">
        <v>268</v>
      </c>
      <c r="BD63" s="7" t="s">
        <v>58</v>
      </c>
      <c r="BE63" s="7" t="s">
        <v>45</v>
      </c>
      <c r="BF63" s="7" t="s">
        <v>37</v>
      </c>
      <c r="BG63" s="36" t="s">
        <v>258</v>
      </c>
      <c r="BH63" s="36" t="s">
        <v>273</v>
      </c>
      <c r="BI63" s="8" t="s">
        <v>146</v>
      </c>
      <c r="BJ63" s="36" t="s">
        <v>176</v>
      </c>
      <c r="BK63" s="8" t="s">
        <v>147</v>
      </c>
      <c r="BL63" s="8" t="s">
        <v>148</v>
      </c>
      <c r="BM63" s="8" t="s">
        <v>149</v>
      </c>
      <c r="BN63" s="8" t="s">
        <v>150</v>
      </c>
      <c r="BO63" s="99" t="s">
        <v>319</v>
      </c>
      <c r="BP63" t="s">
        <v>309</v>
      </c>
      <c r="BQ63" s="98" t="s">
        <v>305</v>
      </c>
      <c r="BR63" s="36" t="s">
        <v>166</v>
      </c>
      <c r="BS63" t="s">
        <v>276</v>
      </c>
      <c r="BT63" s="81" t="s">
        <v>284</v>
      </c>
      <c r="BU63" s="36" t="s">
        <v>260</v>
      </c>
      <c r="BV63" t="s">
        <v>188</v>
      </c>
      <c r="BW63" t="s">
        <v>189</v>
      </c>
      <c r="BX63" t="s">
        <v>190</v>
      </c>
      <c r="BY63" t="s">
        <v>191</v>
      </c>
      <c r="BZ63" t="s">
        <v>192</v>
      </c>
      <c r="CA63" s="45" t="s">
        <v>193</v>
      </c>
      <c r="CB63" s="60" t="s">
        <v>274</v>
      </c>
      <c r="CC63" s="98" t="s">
        <v>311</v>
      </c>
      <c r="CD63" s="45" t="s">
        <v>204</v>
      </c>
      <c r="CE63" s="36" t="s">
        <v>207</v>
      </c>
      <c r="CF63" s="57" t="s">
        <v>217</v>
      </c>
      <c r="CG63" s="22"/>
      <c r="CH63" s="22"/>
      <c r="CI63" s="22"/>
      <c r="CJ63" s="22"/>
      <c r="CK63" s="22"/>
      <c r="CL63" s="22"/>
      <c r="CM63" s="36" t="s">
        <v>286</v>
      </c>
      <c r="CN63" t="s">
        <v>264</v>
      </c>
      <c r="CO63" s="36" t="s">
        <v>83</v>
      </c>
      <c r="CP63" s="81" t="s">
        <v>284</v>
      </c>
      <c r="CQ63" s="36" t="s">
        <v>282</v>
      </c>
    </row>
    <row r="64" spans="5:95" ht="21.75" customHeight="1" x14ac:dyDescent="0.3">
      <c r="R64" s="2"/>
      <c r="S64" s="3"/>
      <c r="AM64" s="1" t="s">
        <v>171</v>
      </c>
      <c r="AN64" s="7" t="s">
        <v>48</v>
      </c>
      <c r="AO64" t="s">
        <v>271</v>
      </c>
      <c r="AP64" s="7" t="s">
        <v>42</v>
      </c>
      <c r="AQ64" s="7" t="s">
        <v>67</v>
      </c>
      <c r="AR64" t="s">
        <v>69</v>
      </c>
      <c r="AS64" s="7" t="s">
        <v>71</v>
      </c>
      <c r="AT64" t="s">
        <v>73</v>
      </c>
      <c r="AU64" s="7" t="s">
        <v>56</v>
      </c>
      <c r="AV64" s="7" t="s">
        <v>60</v>
      </c>
      <c r="AW64" s="7" t="s">
        <v>76</v>
      </c>
      <c r="AX64" t="s">
        <v>67</v>
      </c>
      <c r="AY64" s="7" t="s">
        <v>39</v>
      </c>
      <c r="AZ64" t="s">
        <v>78</v>
      </c>
      <c r="BA64" t="s">
        <v>80</v>
      </c>
      <c r="BB64" s="36" t="s">
        <v>266</v>
      </c>
      <c r="BC64" t="s">
        <v>268</v>
      </c>
      <c r="BD64" s="7" t="s">
        <v>58</v>
      </c>
      <c r="BE64" s="7" t="s">
        <v>45</v>
      </c>
      <c r="BF64" s="7" t="s">
        <v>37</v>
      </c>
      <c r="BG64" s="36" t="s">
        <v>258</v>
      </c>
      <c r="BH64" s="36" t="s">
        <v>273</v>
      </c>
      <c r="BI64" s="8" t="s">
        <v>146</v>
      </c>
      <c r="BJ64" s="36" t="s">
        <v>176</v>
      </c>
      <c r="BK64" s="8" t="s">
        <v>147</v>
      </c>
      <c r="BL64" s="8" t="s">
        <v>148</v>
      </c>
      <c r="BM64" s="8" t="s">
        <v>149</v>
      </c>
      <c r="BN64" s="8" t="s">
        <v>150</v>
      </c>
      <c r="BO64" s="99" t="s">
        <v>320</v>
      </c>
      <c r="BP64" t="s">
        <v>309</v>
      </c>
      <c r="BQ64" s="98" t="s">
        <v>307</v>
      </c>
      <c r="BR64" s="36" t="s">
        <v>166</v>
      </c>
      <c r="BS64" t="s">
        <v>276</v>
      </c>
      <c r="BT64" s="81" t="s">
        <v>284</v>
      </c>
      <c r="BU64" s="36" t="s">
        <v>260</v>
      </c>
      <c r="BV64" t="s">
        <v>188</v>
      </c>
      <c r="BW64" t="s">
        <v>189</v>
      </c>
      <c r="BX64" t="s">
        <v>190</v>
      </c>
      <c r="BY64" t="s">
        <v>191</v>
      </c>
      <c r="BZ64" t="s">
        <v>192</v>
      </c>
      <c r="CA64" s="45" t="s">
        <v>193</v>
      </c>
      <c r="CB64" s="60" t="s">
        <v>274</v>
      </c>
      <c r="CC64" s="98" t="s">
        <v>312</v>
      </c>
      <c r="CD64" s="45" t="s">
        <v>204</v>
      </c>
      <c r="CE64" s="36" t="s">
        <v>207</v>
      </c>
      <c r="CF64" s="57" t="s">
        <v>217</v>
      </c>
      <c r="CG64" s="22"/>
      <c r="CH64" s="22"/>
      <c r="CI64" s="22"/>
      <c r="CJ64" s="22"/>
      <c r="CK64" s="22"/>
      <c r="CL64" s="22"/>
      <c r="CM64" s="36" t="s">
        <v>286</v>
      </c>
      <c r="CN64" t="s">
        <v>264</v>
      </c>
      <c r="CO64" s="36" t="s">
        <v>83</v>
      </c>
      <c r="CP64" s="81" t="s">
        <v>284</v>
      </c>
      <c r="CQ64" s="36" t="s">
        <v>282</v>
      </c>
    </row>
    <row r="65" spans="12:45" x14ac:dyDescent="0.2">
      <c r="R65" s="2"/>
      <c r="S65" s="3"/>
    </row>
    <row r="66" spans="12:45" x14ac:dyDescent="0.2">
      <c r="R66" s="2"/>
      <c r="S66" s="3"/>
    </row>
    <row r="67" spans="12:45" x14ac:dyDescent="0.2">
      <c r="R67" s="2"/>
      <c r="S67" s="3"/>
      <c r="AM67" s="61" t="s">
        <v>211</v>
      </c>
      <c r="AQ67" s="62" t="s">
        <v>212</v>
      </c>
    </row>
    <row r="68" spans="12:45" ht="178.5" customHeight="1" x14ac:dyDescent="0.2">
      <c r="L68" s="9" t="s">
        <v>84</v>
      </c>
      <c r="M68" s="168" t="s">
        <v>28</v>
      </c>
      <c r="N68" s="168"/>
      <c r="O68" s="10" t="s">
        <v>8</v>
      </c>
      <c r="P68" s="8" t="s">
        <v>110</v>
      </c>
      <c r="Q68" s="8"/>
      <c r="R68" s="2"/>
      <c r="S68" s="3"/>
      <c r="AM68" s="141" t="s">
        <v>214</v>
      </c>
      <c r="AN68" s="142"/>
      <c r="AO68" s="142"/>
      <c r="AQ68" s="143" t="s">
        <v>213</v>
      </c>
      <c r="AR68" s="144"/>
      <c r="AS68" s="144"/>
    </row>
    <row r="69" spans="12:45" x14ac:dyDescent="0.2">
      <c r="L69" s="17"/>
      <c r="M69" s="166" t="s">
        <v>49</v>
      </c>
      <c r="N69" s="166"/>
      <c r="O69" s="167"/>
      <c r="P69" s="2"/>
      <c r="Q69" s="2"/>
      <c r="R69" s="2"/>
      <c r="S69" s="3"/>
    </row>
    <row r="70" spans="12:45" x14ac:dyDescent="0.2">
      <c r="L70" s="1"/>
      <c r="M70" s="154" t="s">
        <v>0</v>
      </c>
      <c r="N70" s="154"/>
      <c r="O70" s="3">
        <v>15.1</v>
      </c>
      <c r="P70" s="2"/>
      <c r="Q70" s="2"/>
      <c r="R70" s="2"/>
      <c r="S70" s="3"/>
    </row>
    <row r="71" spans="12:45" x14ac:dyDescent="0.2">
      <c r="L71" s="1"/>
      <c r="M71" s="154" t="s">
        <v>1</v>
      </c>
      <c r="N71" s="154"/>
      <c r="O71" s="3">
        <v>20.9</v>
      </c>
      <c r="P71" s="2"/>
      <c r="Q71" s="2"/>
      <c r="R71" s="2"/>
      <c r="S71" s="3"/>
    </row>
    <row r="72" spans="12:45" x14ac:dyDescent="0.2">
      <c r="L72" s="1"/>
      <c r="M72" s="154" t="s">
        <v>2</v>
      </c>
      <c r="N72" s="154"/>
      <c r="O72" s="3">
        <v>22.6</v>
      </c>
      <c r="P72" s="2"/>
      <c r="Q72" s="2"/>
      <c r="R72" s="2"/>
      <c r="S72" s="3"/>
    </row>
    <row r="73" spans="12:45" ht="13.5" thickBot="1" x14ac:dyDescent="0.25">
      <c r="L73" s="4"/>
      <c r="M73" s="192" t="s">
        <v>3</v>
      </c>
      <c r="N73" s="192"/>
      <c r="O73" s="5">
        <v>25.7</v>
      </c>
      <c r="P73" s="20">
        <f>SUM(O70:O73)/4</f>
        <v>21.074999999999999</v>
      </c>
      <c r="Q73" s="2"/>
      <c r="R73" s="2"/>
      <c r="S73" s="3"/>
    </row>
    <row r="74" spans="12:45" ht="13.5" thickTop="1" x14ac:dyDescent="0.2">
      <c r="L74" s="6"/>
      <c r="M74" s="190" t="s">
        <v>50</v>
      </c>
      <c r="N74" s="190"/>
      <c r="O74" s="191"/>
      <c r="P74" s="2"/>
      <c r="Q74" s="2"/>
      <c r="R74" s="2"/>
      <c r="S74" s="3"/>
    </row>
    <row r="75" spans="12:45" x14ac:dyDescent="0.2">
      <c r="L75" s="1"/>
      <c r="M75" s="65" t="s">
        <v>85</v>
      </c>
      <c r="N75" s="65"/>
      <c r="O75" s="3">
        <v>58.6</v>
      </c>
      <c r="P75" s="2"/>
      <c r="Q75" s="2"/>
      <c r="R75" s="2"/>
      <c r="S75" s="3"/>
    </row>
    <row r="76" spans="12:45" x14ac:dyDescent="0.2">
      <c r="L76" s="1"/>
      <c r="M76" s="65" t="s">
        <v>101</v>
      </c>
      <c r="N76" s="65"/>
      <c r="O76" s="3">
        <v>55.7</v>
      </c>
      <c r="P76" s="2"/>
      <c r="Q76" s="2"/>
      <c r="R76" s="2"/>
      <c r="S76" s="3"/>
    </row>
    <row r="77" spans="12:45" x14ac:dyDescent="0.2">
      <c r="L77" s="1"/>
      <c r="M77" s="65" t="s">
        <v>100</v>
      </c>
      <c r="N77" s="65"/>
      <c r="O77" s="3">
        <v>54.9</v>
      </c>
      <c r="P77" s="2"/>
      <c r="Q77" s="2"/>
      <c r="R77" s="2"/>
      <c r="S77" s="3"/>
    </row>
    <row r="78" spans="12:45" x14ac:dyDescent="0.2">
      <c r="L78" s="1"/>
      <c r="M78" s="65" t="s">
        <v>99</v>
      </c>
      <c r="N78" s="65"/>
      <c r="O78" s="3">
        <v>52</v>
      </c>
      <c r="P78" s="2"/>
      <c r="Q78" s="2"/>
      <c r="R78" s="2"/>
      <c r="S78" s="3"/>
    </row>
    <row r="79" spans="12:45" x14ac:dyDescent="0.2">
      <c r="L79" s="1"/>
      <c r="M79" s="65" t="s">
        <v>98</v>
      </c>
      <c r="N79" s="65"/>
      <c r="O79" s="3">
        <v>51.7</v>
      </c>
      <c r="P79" s="2"/>
      <c r="Q79" s="2"/>
      <c r="R79" s="2"/>
      <c r="S79" s="3"/>
    </row>
    <row r="80" spans="12:45" x14ac:dyDescent="0.2">
      <c r="L80" s="1"/>
      <c r="M80" s="65" t="s">
        <v>102</v>
      </c>
      <c r="N80" s="65"/>
      <c r="O80" s="3">
        <v>51.6</v>
      </c>
      <c r="P80" s="2"/>
      <c r="Q80" s="2"/>
      <c r="R80" s="2"/>
      <c r="S80" s="3"/>
    </row>
    <row r="81" spans="11:19" x14ac:dyDescent="0.2">
      <c r="K81" s="2"/>
      <c r="L81" s="1"/>
      <c r="M81" s="65" t="s">
        <v>97</v>
      </c>
      <c r="N81" s="65"/>
      <c r="O81" s="3">
        <v>49.9</v>
      </c>
      <c r="P81" s="2"/>
      <c r="Q81" s="2"/>
      <c r="R81" s="2"/>
      <c r="S81" s="3"/>
    </row>
    <row r="82" spans="11:19" x14ac:dyDescent="0.2">
      <c r="K82" s="2"/>
      <c r="L82" s="1"/>
      <c r="M82" s="65" t="s">
        <v>103</v>
      </c>
      <c r="N82" s="65"/>
      <c r="O82" s="3">
        <v>49.3</v>
      </c>
      <c r="P82" s="2"/>
      <c r="Q82" s="2"/>
      <c r="R82" s="2"/>
      <c r="S82" s="3"/>
    </row>
    <row r="83" spans="11:19" x14ac:dyDescent="0.2">
      <c r="K83" s="2"/>
      <c r="L83" s="1"/>
      <c r="M83" s="65" t="s">
        <v>104</v>
      </c>
      <c r="N83" s="65"/>
      <c r="O83" s="3">
        <v>48.4</v>
      </c>
      <c r="P83" s="2"/>
      <c r="Q83" s="2"/>
      <c r="R83" s="2"/>
      <c r="S83" s="3"/>
    </row>
    <row r="84" spans="11:19" x14ac:dyDescent="0.2">
      <c r="K84" s="2"/>
      <c r="L84" s="1"/>
      <c r="M84" s="65" t="s">
        <v>96</v>
      </c>
      <c r="N84" s="65"/>
      <c r="O84" s="3">
        <v>48.2</v>
      </c>
      <c r="P84" s="2"/>
      <c r="Q84" s="2"/>
      <c r="R84" s="2"/>
      <c r="S84" s="3"/>
    </row>
    <row r="85" spans="11:19" x14ac:dyDescent="0.2">
      <c r="K85" s="2"/>
      <c r="L85" s="1"/>
      <c r="M85" s="65" t="s">
        <v>105</v>
      </c>
      <c r="N85" s="65"/>
      <c r="O85" s="3">
        <v>47.3</v>
      </c>
      <c r="P85" s="2"/>
      <c r="Q85" s="2"/>
      <c r="R85" s="2"/>
      <c r="S85" s="3"/>
    </row>
    <row r="86" spans="11:19" x14ac:dyDescent="0.2">
      <c r="K86" s="2"/>
      <c r="L86" s="1"/>
      <c r="M86" s="65" t="s">
        <v>95</v>
      </c>
      <c r="N86" s="65"/>
      <c r="O86" s="3">
        <v>47</v>
      </c>
      <c r="P86" s="2"/>
      <c r="Q86" s="2"/>
      <c r="R86" s="2"/>
      <c r="S86" s="3"/>
    </row>
    <row r="87" spans="11:19" x14ac:dyDescent="0.2">
      <c r="K87" s="2"/>
      <c r="L87" s="1"/>
      <c r="M87" s="65" t="s">
        <v>106</v>
      </c>
      <c r="N87" s="65"/>
      <c r="O87" s="3">
        <v>45.7</v>
      </c>
      <c r="P87" s="2"/>
      <c r="Q87" s="2"/>
      <c r="R87" s="2"/>
      <c r="S87" s="3"/>
    </row>
    <row r="88" spans="11:19" x14ac:dyDescent="0.2">
      <c r="K88" s="2"/>
      <c r="L88" s="17"/>
      <c r="M88" s="65" t="s">
        <v>99</v>
      </c>
      <c r="N88" s="65"/>
      <c r="O88" s="3">
        <v>44.3</v>
      </c>
      <c r="P88" s="2"/>
      <c r="Q88" s="2"/>
    </row>
    <row r="89" spans="11:19" x14ac:dyDescent="0.2">
      <c r="K89" s="2"/>
      <c r="L89" s="17"/>
      <c r="M89" s="65" t="s">
        <v>107</v>
      </c>
      <c r="N89" s="65"/>
      <c r="O89" s="3">
        <v>40</v>
      </c>
      <c r="P89" s="2"/>
      <c r="Q89" s="2"/>
    </row>
    <row r="90" spans="11:19" x14ac:dyDescent="0.2">
      <c r="K90" s="2"/>
      <c r="L90" s="17"/>
      <c r="M90" s="65" t="s">
        <v>108</v>
      </c>
      <c r="N90" s="65"/>
      <c r="O90" s="3">
        <v>40</v>
      </c>
      <c r="P90" s="2"/>
      <c r="Q90" s="2"/>
    </row>
    <row r="91" spans="11:19" x14ac:dyDescent="0.2">
      <c r="K91" s="2"/>
      <c r="L91" s="17"/>
      <c r="M91" s="65" t="s">
        <v>94</v>
      </c>
      <c r="N91" s="65"/>
      <c r="O91" s="3">
        <v>39.799999999999997</v>
      </c>
      <c r="P91" s="2"/>
      <c r="Q91" s="2"/>
    </row>
    <row r="92" spans="11:19" x14ac:dyDescent="0.2">
      <c r="L92" s="17"/>
      <c r="M92" s="18" t="s">
        <v>93</v>
      </c>
      <c r="N92" s="65"/>
      <c r="O92" s="3">
        <v>38.9</v>
      </c>
      <c r="P92" s="2"/>
      <c r="Q92" s="2"/>
    </row>
    <row r="93" spans="11:19" x14ac:dyDescent="0.2">
      <c r="L93" s="17"/>
      <c r="M93" s="18" t="s">
        <v>92</v>
      </c>
      <c r="N93" s="65"/>
      <c r="O93" s="3">
        <v>38.299999999999997</v>
      </c>
      <c r="P93" s="2"/>
      <c r="Q93" s="2"/>
    </row>
    <row r="94" spans="11:19" x14ac:dyDescent="0.2">
      <c r="L94" s="1"/>
      <c r="M94" s="18" t="s">
        <v>109</v>
      </c>
      <c r="N94" s="65"/>
      <c r="O94" s="3">
        <v>38.1</v>
      </c>
      <c r="P94" s="2"/>
      <c r="Q94" s="2"/>
    </row>
    <row r="95" spans="11:19" x14ac:dyDescent="0.2">
      <c r="L95" s="1"/>
      <c r="M95" s="18" t="s">
        <v>91</v>
      </c>
      <c r="N95" s="65"/>
      <c r="O95" s="3">
        <v>28.9</v>
      </c>
    </row>
    <row r="96" spans="11:19" x14ac:dyDescent="0.2">
      <c r="L96" s="1"/>
      <c r="M96" s="18" t="s">
        <v>90</v>
      </c>
      <c r="N96" s="65"/>
      <c r="O96" s="3">
        <v>28.8</v>
      </c>
    </row>
    <row r="97" spans="12:18" x14ac:dyDescent="0.2">
      <c r="L97" s="1"/>
      <c r="M97" s="18" t="s">
        <v>89</v>
      </c>
      <c r="N97" s="65"/>
      <c r="O97" s="3">
        <v>28.5</v>
      </c>
    </row>
    <row r="98" spans="12:18" x14ac:dyDescent="0.2">
      <c r="L98" s="1"/>
      <c r="M98" s="18" t="s">
        <v>88</v>
      </c>
      <c r="N98" s="65"/>
      <c r="O98" s="3">
        <v>24.2</v>
      </c>
    </row>
    <row r="99" spans="12:18" x14ac:dyDescent="0.2">
      <c r="L99" s="1"/>
      <c r="M99" s="18" t="s">
        <v>87</v>
      </c>
      <c r="N99" s="65"/>
      <c r="O99" s="3">
        <v>26.62</v>
      </c>
    </row>
    <row r="100" spans="12:18" ht="13.5" thickBot="1" x14ac:dyDescent="0.25">
      <c r="L100" s="4"/>
      <c r="M100" s="68" t="s">
        <v>86</v>
      </c>
      <c r="N100" s="64"/>
      <c r="O100" s="5">
        <v>20.11</v>
      </c>
      <c r="P100" s="20">
        <f>SUM(O75:O100)/26</f>
        <v>42.185769230769218</v>
      </c>
      <c r="Q100" s="2"/>
    </row>
    <row r="101" spans="12:18" ht="13.5" thickTop="1" x14ac:dyDescent="0.2">
      <c r="L101" s="6"/>
      <c r="M101" s="66" t="s">
        <v>54</v>
      </c>
      <c r="N101" s="66"/>
      <c r="O101" s="67"/>
    </row>
    <row r="102" spans="12:18" x14ac:dyDescent="0.2">
      <c r="L102" s="1"/>
      <c r="M102" s="18" t="s">
        <v>111</v>
      </c>
      <c r="N102" s="65"/>
      <c r="O102" s="3">
        <v>63.1</v>
      </c>
    </row>
    <row r="103" spans="12:18" x14ac:dyDescent="0.2">
      <c r="L103" s="1"/>
      <c r="M103" s="18" t="s">
        <v>112</v>
      </c>
      <c r="N103" s="65"/>
      <c r="O103" s="3">
        <v>62.3</v>
      </c>
    </row>
    <row r="104" spans="12:18" x14ac:dyDescent="0.2">
      <c r="L104" s="1"/>
      <c r="M104" s="18" t="s">
        <v>113</v>
      </c>
      <c r="N104" s="65"/>
      <c r="O104" s="3">
        <v>57.7</v>
      </c>
      <c r="R104" s="2"/>
    </row>
    <row r="105" spans="12:18" x14ac:dyDescent="0.2">
      <c r="L105" s="1"/>
      <c r="M105" s="18" t="s">
        <v>114</v>
      </c>
      <c r="N105" s="65"/>
      <c r="O105" s="3">
        <v>56.6</v>
      </c>
      <c r="R105" s="2"/>
    </row>
    <row r="106" spans="12:18" x14ac:dyDescent="0.2">
      <c r="L106" s="1"/>
      <c r="M106" s="18" t="s">
        <v>115</v>
      </c>
      <c r="N106" s="65"/>
      <c r="O106" s="3">
        <v>46.4</v>
      </c>
    </row>
    <row r="107" spans="12:18" x14ac:dyDescent="0.2">
      <c r="L107" s="1"/>
      <c r="M107" s="18" t="s">
        <v>116</v>
      </c>
      <c r="N107" s="65"/>
      <c r="O107" s="3">
        <v>45.8</v>
      </c>
    </row>
    <row r="108" spans="12:18" x14ac:dyDescent="0.2">
      <c r="L108" s="1"/>
      <c r="M108" s="18" t="s">
        <v>117</v>
      </c>
      <c r="N108" s="65"/>
      <c r="O108" s="3">
        <v>45.8</v>
      </c>
    </row>
    <row r="109" spans="12:18" ht="13.5" thickBot="1" x14ac:dyDescent="0.25">
      <c r="L109" s="4"/>
      <c r="M109" s="68" t="s">
        <v>118</v>
      </c>
      <c r="N109" s="64"/>
      <c r="O109" s="5">
        <v>37.1</v>
      </c>
      <c r="P109" s="20">
        <f>SUM(O102:O109)/8</f>
        <v>51.850000000000009</v>
      </c>
      <c r="Q109" s="2"/>
    </row>
    <row r="110" spans="12:18" ht="13.5" thickTop="1" x14ac:dyDescent="0.2">
      <c r="L110" s="6"/>
      <c r="M110" s="66" t="s">
        <v>51</v>
      </c>
      <c r="N110" s="66"/>
      <c r="O110" s="67"/>
    </row>
    <row r="111" spans="12:18" x14ac:dyDescent="0.2">
      <c r="L111" s="1"/>
      <c r="M111" s="18" t="s">
        <v>119</v>
      </c>
      <c r="N111" s="65"/>
      <c r="O111" s="3">
        <v>28.7</v>
      </c>
      <c r="P111" s="2"/>
      <c r="Q111" s="2"/>
    </row>
    <row r="112" spans="12:18" ht="13.5" thickBot="1" x14ac:dyDescent="0.25">
      <c r="L112" s="4"/>
      <c r="M112" s="68" t="s">
        <v>120</v>
      </c>
      <c r="N112" s="64"/>
      <c r="O112" s="5">
        <v>16</v>
      </c>
      <c r="P112" s="20">
        <f>SUM(O111:O112)/2</f>
        <v>22.35</v>
      </c>
      <c r="Q112" s="2"/>
    </row>
    <row r="113" spans="12:15" ht="13.5" thickTop="1" x14ac:dyDescent="0.2">
      <c r="L113" s="6"/>
      <c r="M113" s="66" t="s">
        <v>52</v>
      </c>
      <c r="N113" s="66"/>
      <c r="O113" s="67"/>
    </row>
    <row r="114" spans="12:15" x14ac:dyDescent="0.2">
      <c r="L114" s="1"/>
      <c r="M114" s="18" t="s">
        <v>121</v>
      </c>
      <c r="N114" s="65"/>
      <c r="O114" s="19">
        <v>71.400000000000006</v>
      </c>
    </row>
    <row r="115" spans="12:15" x14ac:dyDescent="0.2">
      <c r="L115" s="1"/>
      <c r="M115" s="18" t="s">
        <v>122</v>
      </c>
      <c r="N115" s="65"/>
      <c r="O115" s="19">
        <v>69.599999999999994</v>
      </c>
    </row>
    <row r="116" spans="12:15" x14ac:dyDescent="0.2">
      <c r="L116" s="1"/>
      <c r="M116" s="18" t="s">
        <v>123</v>
      </c>
      <c r="N116" s="65"/>
      <c r="O116" s="19">
        <v>68.7</v>
      </c>
    </row>
    <row r="117" spans="12:15" x14ac:dyDescent="0.2">
      <c r="L117" s="1"/>
      <c r="M117" s="18" t="s">
        <v>124</v>
      </c>
      <c r="N117" s="65"/>
      <c r="O117" s="19">
        <v>66.2</v>
      </c>
    </row>
    <row r="118" spans="12:15" x14ac:dyDescent="0.2">
      <c r="L118" s="1"/>
      <c r="M118" s="18" t="s">
        <v>125</v>
      </c>
      <c r="N118" s="65"/>
      <c r="O118" s="19">
        <v>64.900000000000006</v>
      </c>
    </row>
    <row r="119" spans="12:15" x14ac:dyDescent="0.2">
      <c r="L119" s="1"/>
      <c r="M119" s="18" t="s">
        <v>126</v>
      </c>
      <c r="N119" s="65"/>
      <c r="O119" s="19">
        <v>64.7</v>
      </c>
    </row>
    <row r="120" spans="12:15" x14ac:dyDescent="0.2">
      <c r="L120" s="1"/>
      <c r="M120" s="18" t="s">
        <v>127</v>
      </c>
      <c r="N120" s="65"/>
      <c r="O120" s="19">
        <v>63.4</v>
      </c>
    </row>
    <row r="121" spans="12:15" x14ac:dyDescent="0.2">
      <c r="L121" s="1"/>
      <c r="M121" s="18" t="s">
        <v>128</v>
      </c>
      <c r="N121" s="65"/>
      <c r="O121" s="19">
        <v>62</v>
      </c>
    </row>
    <row r="122" spans="12:15" x14ac:dyDescent="0.2">
      <c r="L122" s="1"/>
      <c r="M122" s="18" t="s">
        <v>129</v>
      </c>
      <c r="N122" s="65"/>
      <c r="O122" s="19">
        <v>60</v>
      </c>
    </row>
    <row r="123" spans="12:15" x14ac:dyDescent="0.2">
      <c r="L123" s="1"/>
      <c r="M123" s="18" t="s">
        <v>130</v>
      </c>
      <c r="N123" s="65"/>
      <c r="O123" s="19">
        <v>59.6</v>
      </c>
    </row>
    <row r="124" spans="12:15" x14ac:dyDescent="0.2">
      <c r="L124" s="1"/>
      <c r="M124" s="18" t="s">
        <v>131</v>
      </c>
      <c r="N124" s="65"/>
      <c r="O124" s="19">
        <v>57.5</v>
      </c>
    </row>
    <row r="125" spans="12:15" x14ac:dyDescent="0.2">
      <c r="L125" s="1"/>
      <c r="M125" s="18" t="s">
        <v>132</v>
      </c>
      <c r="N125" s="65"/>
      <c r="O125" s="19">
        <v>57.1</v>
      </c>
    </row>
    <row r="126" spans="12:15" x14ac:dyDescent="0.2">
      <c r="L126" s="1"/>
      <c r="M126" s="18" t="s">
        <v>133</v>
      </c>
      <c r="N126" s="65"/>
      <c r="O126" s="19">
        <v>54.7</v>
      </c>
    </row>
    <row r="127" spans="12:15" x14ac:dyDescent="0.2">
      <c r="L127" s="1"/>
      <c r="M127" s="18" t="s">
        <v>134</v>
      </c>
      <c r="N127" s="65"/>
      <c r="O127" s="19">
        <v>52</v>
      </c>
    </row>
    <row r="128" spans="12:15" x14ac:dyDescent="0.2">
      <c r="L128" s="1"/>
      <c r="M128" s="18" t="s">
        <v>135</v>
      </c>
      <c r="N128" s="65"/>
      <c r="O128" s="19">
        <v>46.8</v>
      </c>
    </row>
    <row r="129" spans="12:17" x14ac:dyDescent="0.2">
      <c r="L129" s="1"/>
      <c r="M129" s="18" t="s">
        <v>136</v>
      </c>
      <c r="N129" s="65"/>
      <c r="O129" s="19">
        <v>37.9</v>
      </c>
    </row>
    <row r="130" spans="12:17" x14ac:dyDescent="0.2">
      <c r="L130" s="1"/>
      <c r="M130" s="18" t="s">
        <v>137</v>
      </c>
      <c r="N130" s="65"/>
      <c r="O130" s="19">
        <v>33.9</v>
      </c>
    </row>
    <row r="131" spans="12:17" x14ac:dyDescent="0.2">
      <c r="L131" s="1"/>
      <c r="M131" s="18" t="s">
        <v>138</v>
      </c>
      <c r="N131" s="65"/>
      <c r="O131" s="19">
        <v>29.9</v>
      </c>
    </row>
    <row r="132" spans="12:17" x14ac:dyDescent="0.2">
      <c r="L132" s="1"/>
      <c r="M132" s="18" t="s">
        <v>139</v>
      </c>
      <c r="N132" s="65"/>
      <c r="O132" s="19">
        <v>26.8</v>
      </c>
    </row>
    <row r="133" spans="12:17" ht="13.5" thickBot="1" x14ac:dyDescent="0.25">
      <c r="L133" s="4"/>
      <c r="M133" s="68" t="s">
        <v>140</v>
      </c>
      <c r="N133" s="64"/>
      <c r="O133" s="21">
        <v>19.5</v>
      </c>
      <c r="P133" s="20">
        <f>SUM(O114:O133)/20</f>
        <v>53.33</v>
      </c>
      <c r="Q133" s="2"/>
    </row>
    <row r="134" spans="12:17" ht="13.5" thickTop="1" x14ac:dyDescent="0.2">
      <c r="L134" s="6"/>
      <c r="M134" s="66" t="s">
        <v>53</v>
      </c>
      <c r="N134" s="66"/>
      <c r="O134" s="67"/>
    </row>
    <row r="135" spans="12:17" x14ac:dyDescent="0.2">
      <c r="L135" s="1"/>
      <c r="M135" s="18" t="s">
        <v>141</v>
      </c>
      <c r="N135" s="65"/>
      <c r="O135" s="19">
        <v>71.400000000000006</v>
      </c>
    </row>
    <row r="136" spans="12:17" x14ac:dyDescent="0.2">
      <c r="L136" s="1"/>
      <c r="M136" s="18" t="s">
        <v>142</v>
      </c>
      <c r="N136" s="65"/>
      <c r="O136" s="19">
        <v>66.8</v>
      </c>
    </row>
    <row r="137" spans="12:17" x14ac:dyDescent="0.2">
      <c r="L137" s="1"/>
      <c r="M137" s="18" t="s">
        <v>143</v>
      </c>
      <c r="N137" s="65"/>
      <c r="O137" s="19">
        <v>63.9</v>
      </c>
    </row>
    <row r="138" spans="12:17" x14ac:dyDescent="0.2">
      <c r="L138" s="1"/>
      <c r="M138" s="18" t="s">
        <v>144</v>
      </c>
      <c r="N138" s="65"/>
      <c r="O138" s="19">
        <v>60</v>
      </c>
    </row>
    <row r="139" spans="12:17" ht="13.5" thickBot="1" x14ac:dyDescent="0.25">
      <c r="L139" s="4"/>
      <c r="M139" s="68" t="s">
        <v>145</v>
      </c>
      <c r="N139" s="64"/>
      <c r="O139" s="21">
        <v>59.4</v>
      </c>
      <c r="P139" s="20">
        <f>SUM(O135:O139)/5</f>
        <v>64.3</v>
      </c>
      <c r="Q139" s="2"/>
    </row>
    <row r="140" spans="12:17" ht="13.5" thickTop="1" x14ac:dyDescent="0.2">
      <c r="M140" s="18"/>
      <c r="N140" s="65"/>
      <c r="O140" s="18"/>
    </row>
    <row r="141" spans="12:17" x14ac:dyDescent="0.2">
      <c r="L141" s="36" t="s">
        <v>165</v>
      </c>
      <c r="M141" s="18"/>
      <c r="N141" s="65"/>
      <c r="O141" s="18"/>
    </row>
    <row r="142" spans="12:17" x14ac:dyDescent="0.2">
      <c r="L142" s="7">
        <v>1</v>
      </c>
      <c r="M142" s="42" t="s">
        <v>20</v>
      </c>
      <c r="N142" s="43"/>
      <c r="O142" s="18"/>
    </row>
    <row r="143" spans="12:17" x14ac:dyDescent="0.2">
      <c r="L143" s="7">
        <v>2</v>
      </c>
      <c r="M143" s="42" t="s">
        <v>20</v>
      </c>
      <c r="N143" s="43"/>
      <c r="O143" s="18"/>
    </row>
    <row r="144" spans="12:17" x14ac:dyDescent="0.2">
      <c r="L144" s="7">
        <v>3</v>
      </c>
      <c r="M144" s="42" t="s">
        <v>20</v>
      </c>
      <c r="N144" s="43"/>
      <c r="O144" s="18"/>
    </row>
    <row r="145" spans="12:15" x14ac:dyDescent="0.2">
      <c r="L145" s="7">
        <v>4</v>
      </c>
      <c r="M145" s="42" t="s">
        <v>20</v>
      </c>
      <c r="N145" s="43"/>
      <c r="O145" s="18"/>
    </row>
    <row r="146" spans="12:15" x14ac:dyDescent="0.2">
      <c r="L146" s="7">
        <v>5</v>
      </c>
      <c r="M146" s="42" t="s">
        <v>20</v>
      </c>
      <c r="N146" s="43"/>
      <c r="O146" s="18"/>
    </row>
    <row r="147" spans="12:15" x14ac:dyDescent="0.2">
      <c r="L147" s="7">
        <v>6</v>
      </c>
      <c r="M147" s="42" t="s">
        <v>20</v>
      </c>
      <c r="N147" s="43"/>
      <c r="O147" s="18"/>
    </row>
    <row r="148" spans="12:15" x14ac:dyDescent="0.2">
      <c r="L148" s="7">
        <v>7</v>
      </c>
      <c r="M148" s="42" t="s">
        <v>20</v>
      </c>
      <c r="N148" s="43"/>
      <c r="O148" s="18"/>
    </row>
    <row r="149" spans="12:15" x14ac:dyDescent="0.2">
      <c r="L149" s="7">
        <v>8</v>
      </c>
      <c r="M149" s="42" t="s">
        <v>20</v>
      </c>
      <c r="N149" s="43"/>
      <c r="O149" s="18"/>
    </row>
    <row r="150" spans="12:15" x14ac:dyDescent="0.2">
      <c r="L150" s="7">
        <v>9</v>
      </c>
      <c r="M150" s="42" t="s">
        <v>20</v>
      </c>
      <c r="N150" s="43"/>
      <c r="O150" s="18"/>
    </row>
    <row r="151" spans="12:15" x14ac:dyDescent="0.2">
      <c r="L151" s="7">
        <v>10</v>
      </c>
      <c r="M151" s="42" t="s">
        <v>21</v>
      </c>
      <c r="N151" s="43"/>
      <c r="O151" s="18"/>
    </row>
    <row r="152" spans="12:15" x14ac:dyDescent="0.2">
      <c r="L152" s="7">
        <v>11</v>
      </c>
      <c r="M152" s="42" t="s">
        <v>21</v>
      </c>
      <c r="N152" s="43"/>
      <c r="O152" s="18"/>
    </row>
    <row r="153" spans="12:15" x14ac:dyDescent="0.2">
      <c r="L153" s="7">
        <v>12</v>
      </c>
      <c r="M153" s="42" t="s">
        <v>21</v>
      </c>
      <c r="N153" s="43"/>
      <c r="O153" s="18"/>
    </row>
    <row r="154" spans="12:15" x14ac:dyDescent="0.2">
      <c r="L154" s="7">
        <v>13</v>
      </c>
      <c r="M154" s="42" t="s">
        <v>21</v>
      </c>
      <c r="N154" s="43"/>
      <c r="O154" s="18"/>
    </row>
    <row r="155" spans="12:15" x14ac:dyDescent="0.2">
      <c r="L155" s="7">
        <v>14</v>
      </c>
      <c r="M155" s="42" t="s">
        <v>21</v>
      </c>
      <c r="N155" s="43"/>
      <c r="O155" s="18"/>
    </row>
    <row r="156" spans="12:15" x14ac:dyDescent="0.2">
      <c r="L156" s="7">
        <v>15</v>
      </c>
      <c r="M156" s="42" t="s">
        <v>22</v>
      </c>
      <c r="N156" s="43"/>
      <c r="O156" s="18"/>
    </row>
    <row r="157" spans="12:15" x14ac:dyDescent="0.2">
      <c r="L157" s="7">
        <v>16</v>
      </c>
      <c r="M157" s="42" t="s">
        <v>22</v>
      </c>
      <c r="N157" s="43"/>
      <c r="O157" s="18"/>
    </row>
    <row r="158" spans="12:15" x14ac:dyDescent="0.2">
      <c r="L158" s="7">
        <v>17</v>
      </c>
      <c r="M158" s="42" t="s">
        <v>22</v>
      </c>
      <c r="N158" s="43"/>
      <c r="O158" s="18"/>
    </row>
    <row r="159" spans="12:15" x14ac:dyDescent="0.2">
      <c r="L159" s="7">
        <v>18</v>
      </c>
      <c r="M159" s="42" t="s">
        <v>22</v>
      </c>
      <c r="N159" s="43"/>
      <c r="O159" s="18"/>
    </row>
    <row r="160" spans="12:15" x14ac:dyDescent="0.2">
      <c r="L160" s="7">
        <v>19</v>
      </c>
      <c r="M160" s="42" t="s">
        <v>22</v>
      </c>
      <c r="N160" s="43"/>
      <c r="O160" s="18"/>
    </row>
    <row r="161" spans="12:15" x14ac:dyDescent="0.2">
      <c r="L161" s="7">
        <v>20</v>
      </c>
      <c r="M161" s="44" t="s">
        <v>5</v>
      </c>
      <c r="N161" s="43"/>
      <c r="O161" s="18"/>
    </row>
    <row r="162" spans="12:15" x14ac:dyDescent="0.2">
      <c r="L162" s="7">
        <v>21</v>
      </c>
      <c r="M162" s="44" t="s">
        <v>5</v>
      </c>
      <c r="N162" s="43"/>
      <c r="O162" s="18"/>
    </row>
    <row r="163" spans="12:15" x14ac:dyDescent="0.2">
      <c r="L163" s="7">
        <v>22</v>
      </c>
      <c r="M163" s="44" t="s">
        <v>5</v>
      </c>
      <c r="N163" s="43"/>
      <c r="O163" s="18"/>
    </row>
    <row r="164" spans="12:15" x14ac:dyDescent="0.2">
      <c r="L164" s="7">
        <v>23</v>
      </c>
      <c r="M164" s="44" t="s">
        <v>5</v>
      </c>
      <c r="N164" s="43"/>
      <c r="O164" s="18"/>
    </row>
    <row r="165" spans="12:15" x14ac:dyDescent="0.2">
      <c r="L165" s="7">
        <v>24</v>
      </c>
      <c r="M165" s="44" t="s">
        <v>5</v>
      </c>
      <c r="N165" s="43"/>
      <c r="O165" s="18"/>
    </row>
    <row r="166" spans="12:15" x14ac:dyDescent="0.2">
      <c r="L166" s="7">
        <v>25</v>
      </c>
      <c r="M166" s="44" t="s">
        <v>5</v>
      </c>
      <c r="N166" s="43"/>
      <c r="O166" s="18"/>
    </row>
    <row r="167" spans="12:15" x14ac:dyDescent="0.2">
      <c r="L167" s="7">
        <v>26</v>
      </c>
      <c r="M167" s="44" t="s">
        <v>5</v>
      </c>
      <c r="N167" s="43"/>
      <c r="O167" s="18"/>
    </row>
    <row r="168" spans="12:15" x14ac:dyDescent="0.2">
      <c r="L168" s="7">
        <v>27</v>
      </c>
      <c r="M168" s="44" t="s">
        <v>5</v>
      </c>
      <c r="N168" s="43"/>
      <c r="O168" s="18"/>
    </row>
    <row r="169" spans="12:15" x14ac:dyDescent="0.2">
      <c r="L169" s="7">
        <v>28</v>
      </c>
      <c r="M169" s="44" t="s">
        <v>5</v>
      </c>
      <c r="N169" s="43"/>
      <c r="O169" s="18"/>
    </row>
    <row r="170" spans="12:15" x14ac:dyDescent="0.2">
      <c r="L170" s="7">
        <v>29</v>
      </c>
      <c r="M170" s="44" t="s">
        <v>5</v>
      </c>
      <c r="N170" s="43"/>
      <c r="O170" s="18"/>
    </row>
    <row r="171" spans="12:15" x14ac:dyDescent="0.2">
      <c r="L171" s="7">
        <v>30</v>
      </c>
      <c r="M171" s="44" t="s">
        <v>6</v>
      </c>
      <c r="N171" s="43"/>
      <c r="O171" s="18"/>
    </row>
    <row r="172" spans="12:15" x14ac:dyDescent="0.2">
      <c r="L172" s="7">
        <v>31</v>
      </c>
      <c r="M172" s="44" t="s">
        <v>6</v>
      </c>
      <c r="N172" s="43"/>
      <c r="O172" s="18"/>
    </row>
    <row r="173" spans="12:15" x14ac:dyDescent="0.2">
      <c r="L173" s="7">
        <v>32</v>
      </c>
      <c r="M173" s="44" t="s">
        <v>6</v>
      </c>
      <c r="N173" s="43"/>
      <c r="O173" s="18"/>
    </row>
    <row r="174" spans="12:15" x14ac:dyDescent="0.2">
      <c r="L174" s="7">
        <v>33</v>
      </c>
      <c r="M174" s="44" t="s">
        <v>6</v>
      </c>
      <c r="N174" s="43"/>
      <c r="O174" s="18"/>
    </row>
    <row r="175" spans="12:15" x14ac:dyDescent="0.2">
      <c r="L175" s="7">
        <v>34</v>
      </c>
      <c r="M175" s="44" t="s">
        <v>6</v>
      </c>
      <c r="N175" s="43"/>
      <c r="O175" s="18"/>
    </row>
    <row r="176" spans="12:15" x14ac:dyDescent="0.2">
      <c r="L176" s="7">
        <v>35</v>
      </c>
      <c r="M176" s="44" t="s">
        <v>6</v>
      </c>
      <c r="N176" s="43"/>
      <c r="O176" s="18"/>
    </row>
    <row r="177" spans="12:15" x14ac:dyDescent="0.2">
      <c r="L177" s="7">
        <v>36</v>
      </c>
      <c r="M177" s="44" t="s">
        <v>6</v>
      </c>
      <c r="N177" s="43"/>
      <c r="O177" s="18"/>
    </row>
    <row r="178" spans="12:15" x14ac:dyDescent="0.2">
      <c r="L178" s="7">
        <v>37</v>
      </c>
      <c r="M178" s="44" t="s">
        <v>6</v>
      </c>
      <c r="N178" s="43"/>
      <c r="O178" s="18"/>
    </row>
    <row r="179" spans="12:15" x14ac:dyDescent="0.2">
      <c r="L179" s="7">
        <v>38</v>
      </c>
      <c r="M179" s="44" t="s">
        <v>6</v>
      </c>
      <c r="N179" s="43"/>
      <c r="O179" s="18"/>
    </row>
    <row r="180" spans="12:15" x14ac:dyDescent="0.2">
      <c r="L180" s="7">
        <v>39</v>
      </c>
      <c r="M180" s="44" t="s">
        <v>6</v>
      </c>
      <c r="N180" s="43"/>
      <c r="O180" s="18"/>
    </row>
    <row r="181" spans="12:15" x14ac:dyDescent="0.2">
      <c r="L181" s="7">
        <v>40</v>
      </c>
      <c r="M181" s="44" t="s">
        <v>7</v>
      </c>
      <c r="N181" s="43"/>
      <c r="O181" s="18"/>
    </row>
    <row r="182" spans="12:15" x14ac:dyDescent="0.2">
      <c r="L182" s="7">
        <v>41</v>
      </c>
      <c r="M182" s="44" t="s">
        <v>7</v>
      </c>
      <c r="N182" s="43"/>
      <c r="O182" s="18"/>
    </row>
    <row r="183" spans="12:15" x14ac:dyDescent="0.2">
      <c r="L183" s="7">
        <v>42</v>
      </c>
      <c r="M183" s="44" t="s">
        <v>7</v>
      </c>
      <c r="N183" s="43"/>
      <c r="O183" s="18"/>
    </row>
    <row r="184" spans="12:15" x14ac:dyDescent="0.2">
      <c r="L184" s="7">
        <v>43</v>
      </c>
      <c r="M184" s="44" t="s">
        <v>7</v>
      </c>
      <c r="N184" s="43"/>
      <c r="O184" s="18"/>
    </row>
    <row r="185" spans="12:15" x14ac:dyDescent="0.2">
      <c r="L185" s="7">
        <v>44</v>
      </c>
      <c r="M185" s="44" t="s">
        <v>7</v>
      </c>
      <c r="N185" s="43"/>
      <c r="O185" s="18"/>
    </row>
    <row r="186" spans="12:15" x14ac:dyDescent="0.2">
      <c r="L186" s="7">
        <v>45</v>
      </c>
      <c r="M186" s="44" t="s">
        <v>7</v>
      </c>
      <c r="N186" s="43"/>
      <c r="O186" s="18"/>
    </row>
    <row r="187" spans="12:15" x14ac:dyDescent="0.2">
      <c r="L187" s="7">
        <v>46</v>
      </c>
      <c r="M187" s="44" t="s">
        <v>7</v>
      </c>
      <c r="N187" s="43"/>
      <c r="O187" s="18"/>
    </row>
    <row r="188" spans="12:15" x14ac:dyDescent="0.2">
      <c r="L188" s="7">
        <v>47</v>
      </c>
      <c r="M188" s="44" t="s">
        <v>7</v>
      </c>
      <c r="N188" s="43"/>
      <c r="O188" s="18"/>
    </row>
    <row r="189" spans="12:15" x14ac:dyDescent="0.2">
      <c r="L189" s="7">
        <v>48</v>
      </c>
      <c r="M189" s="44" t="s">
        <v>7</v>
      </c>
      <c r="N189" s="43"/>
      <c r="O189" s="18"/>
    </row>
    <row r="190" spans="12:15" x14ac:dyDescent="0.2">
      <c r="L190" s="7">
        <v>49</v>
      </c>
      <c r="M190" s="44" t="s">
        <v>7</v>
      </c>
      <c r="N190" s="43"/>
      <c r="O190" s="18"/>
    </row>
    <row r="191" spans="12:15" x14ac:dyDescent="0.2">
      <c r="L191" s="7">
        <v>50</v>
      </c>
      <c r="M191" s="44" t="s">
        <v>7</v>
      </c>
      <c r="N191" s="43"/>
      <c r="O191" s="18"/>
    </row>
    <row r="192" spans="12:15" x14ac:dyDescent="0.2">
      <c r="L192" s="7">
        <v>51</v>
      </c>
      <c r="M192" s="44" t="s">
        <v>7</v>
      </c>
      <c r="N192" s="43"/>
      <c r="O192" s="18"/>
    </row>
    <row r="193" spans="12:15" x14ac:dyDescent="0.2">
      <c r="L193" s="7">
        <v>52</v>
      </c>
      <c r="M193" s="44" t="s">
        <v>7</v>
      </c>
      <c r="N193" s="43"/>
      <c r="O193" s="18"/>
    </row>
    <row r="194" spans="12:15" x14ac:dyDescent="0.2">
      <c r="L194" s="7">
        <v>53</v>
      </c>
      <c r="M194" s="44" t="s">
        <v>7</v>
      </c>
      <c r="N194" s="43"/>
      <c r="O194" s="18"/>
    </row>
    <row r="195" spans="12:15" x14ac:dyDescent="0.2">
      <c r="L195" s="7">
        <v>54</v>
      </c>
      <c r="M195" s="44" t="s">
        <v>7</v>
      </c>
      <c r="N195" s="43"/>
      <c r="O195" s="18"/>
    </row>
    <row r="196" spans="12:15" x14ac:dyDescent="0.2">
      <c r="L196" s="7">
        <v>55</v>
      </c>
      <c r="M196" s="44" t="s">
        <v>23</v>
      </c>
      <c r="N196" s="43"/>
      <c r="O196" s="18"/>
    </row>
    <row r="197" spans="12:15" x14ac:dyDescent="0.2">
      <c r="L197" s="7">
        <v>56</v>
      </c>
      <c r="M197" s="44" t="s">
        <v>23</v>
      </c>
      <c r="N197" s="43"/>
      <c r="O197" s="18"/>
    </row>
    <row r="198" spans="12:15" x14ac:dyDescent="0.2">
      <c r="L198" s="7">
        <v>57</v>
      </c>
      <c r="M198" s="44" t="s">
        <v>23</v>
      </c>
      <c r="N198" s="43"/>
      <c r="O198" s="18"/>
    </row>
    <row r="199" spans="12:15" x14ac:dyDescent="0.2">
      <c r="L199" s="7">
        <v>58</v>
      </c>
      <c r="M199" s="44" t="s">
        <v>23</v>
      </c>
      <c r="N199" s="43"/>
      <c r="O199" s="18"/>
    </row>
    <row r="200" spans="12:15" x14ac:dyDescent="0.2">
      <c r="L200" s="7">
        <v>59</v>
      </c>
      <c r="M200" s="44" t="s">
        <v>23</v>
      </c>
      <c r="N200" s="43"/>
      <c r="O200" s="18"/>
    </row>
    <row r="201" spans="12:15" x14ac:dyDescent="0.2">
      <c r="L201" s="7">
        <v>60</v>
      </c>
      <c r="M201" s="44" t="s">
        <v>23</v>
      </c>
      <c r="N201" s="43"/>
      <c r="O201" s="18"/>
    </row>
    <row r="202" spans="12:15" x14ac:dyDescent="0.2">
      <c r="L202" s="7">
        <v>61</v>
      </c>
      <c r="M202" s="44" t="s">
        <v>23</v>
      </c>
      <c r="N202" s="43"/>
      <c r="O202" s="18"/>
    </row>
    <row r="203" spans="12:15" x14ac:dyDescent="0.2">
      <c r="L203" s="7">
        <v>62</v>
      </c>
      <c r="M203" s="44" t="s">
        <v>23</v>
      </c>
      <c r="N203" s="43"/>
      <c r="O203" s="18"/>
    </row>
    <row r="204" spans="12:15" x14ac:dyDescent="0.2">
      <c r="L204" s="7">
        <v>63</v>
      </c>
      <c r="M204" s="44" t="s">
        <v>23</v>
      </c>
      <c r="N204" s="43"/>
      <c r="O204" s="18"/>
    </row>
    <row r="205" spans="12:15" x14ac:dyDescent="0.2">
      <c r="L205" s="7">
        <v>64</v>
      </c>
      <c r="M205" s="44" t="s">
        <v>23</v>
      </c>
      <c r="N205" s="43"/>
      <c r="O205" s="18"/>
    </row>
    <row r="206" spans="12:15" x14ac:dyDescent="0.2">
      <c r="L206" s="7">
        <v>65</v>
      </c>
      <c r="M206" s="44" t="s">
        <v>23</v>
      </c>
      <c r="N206" s="43"/>
      <c r="O206" s="18"/>
    </row>
    <row r="207" spans="12:15" x14ac:dyDescent="0.2">
      <c r="L207" s="7">
        <v>66</v>
      </c>
      <c r="M207" s="44" t="s">
        <v>23</v>
      </c>
      <c r="N207" s="43"/>
      <c r="O207" s="18"/>
    </row>
    <row r="208" spans="12:15" x14ac:dyDescent="0.2">
      <c r="L208" s="7">
        <v>67</v>
      </c>
      <c r="M208" s="44" t="s">
        <v>23</v>
      </c>
      <c r="N208" s="43"/>
      <c r="O208" s="18"/>
    </row>
    <row r="209" spans="12:15" x14ac:dyDescent="0.2">
      <c r="L209" s="7">
        <v>68</v>
      </c>
      <c r="M209" s="44" t="s">
        <v>23</v>
      </c>
      <c r="N209" s="43"/>
      <c r="O209" s="18"/>
    </row>
    <row r="210" spans="12:15" x14ac:dyDescent="0.2">
      <c r="L210" s="7">
        <v>69</v>
      </c>
      <c r="M210" s="44" t="s">
        <v>23</v>
      </c>
      <c r="N210" s="43"/>
      <c r="O210" s="18"/>
    </row>
    <row r="211" spans="12:15" x14ac:dyDescent="0.2">
      <c r="L211" s="7">
        <v>70</v>
      </c>
      <c r="M211" s="44" t="s">
        <v>23</v>
      </c>
      <c r="N211" s="43"/>
      <c r="O211" s="18"/>
    </row>
    <row r="212" spans="12:15" x14ac:dyDescent="0.2">
      <c r="L212" s="7">
        <v>71</v>
      </c>
      <c r="M212" s="44" t="s">
        <v>23</v>
      </c>
      <c r="N212" s="43"/>
      <c r="O212" s="18"/>
    </row>
    <row r="213" spans="12:15" x14ac:dyDescent="0.2">
      <c r="L213" s="7">
        <v>72</v>
      </c>
      <c r="M213" s="44" t="s">
        <v>23</v>
      </c>
      <c r="N213" s="43"/>
      <c r="O213" s="18"/>
    </row>
    <row r="214" spans="12:15" x14ac:dyDescent="0.2">
      <c r="L214" s="7">
        <v>73</v>
      </c>
      <c r="M214" s="44" t="s">
        <v>23</v>
      </c>
      <c r="N214" s="43"/>
      <c r="O214" s="18"/>
    </row>
    <row r="215" spans="12:15" x14ac:dyDescent="0.2">
      <c r="L215" s="7">
        <v>74</v>
      </c>
      <c r="M215" s="44" t="s">
        <v>23</v>
      </c>
      <c r="N215" s="43"/>
      <c r="O215" s="18"/>
    </row>
    <row r="216" spans="12:15" x14ac:dyDescent="0.2">
      <c r="L216" s="7">
        <v>75</v>
      </c>
      <c r="M216" s="44" t="s">
        <v>24</v>
      </c>
      <c r="N216" s="43"/>
      <c r="O216" s="18"/>
    </row>
    <row r="217" spans="12:15" x14ac:dyDescent="0.2">
      <c r="L217" s="7">
        <v>76</v>
      </c>
      <c r="M217" s="44" t="s">
        <v>24</v>
      </c>
      <c r="N217" s="43"/>
      <c r="O217" s="18"/>
    </row>
    <row r="218" spans="12:15" x14ac:dyDescent="0.2">
      <c r="L218" s="7">
        <v>77</v>
      </c>
      <c r="M218" s="44" t="s">
        <v>24</v>
      </c>
      <c r="N218" s="43"/>
      <c r="O218" s="18"/>
    </row>
    <row r="219" spans="12:15" x14ac:dyDescent="0.2">
      <c r="L219" s="7">
        <v>78</v>
      </c>
      <c r="M219" s="44" t="s">
        <v>24</v>
      </c>
      <c r="N219" s="43"/>
      <c r="O219" s="18"/>
    </row>
    <row r="220" spans="12:15" x14ac:dyDescent="0.2">
      <c r="L220" s="7">
        <v>79</v>
      </c>
      <c r="M220" s="44" t="s">
        <v>24</v>
      </c>
      <c r="N220" s="43"/>
      <c r="O220" s="18"/>
    </row>
    <row r="221" spans="12:15" x14ac:dyDescent="0.2">
      <c r="L221" s="7">
        <v>80</v>
      </c>
      <c r="M221" s="44" t="s">
        <v>24</v>
      </c>
      <c r="N221" s="43"/>
      <c r="O221" s="18"/>
    </row>
    <row r="222" spans="12:15" x14ac:dyDescent="0.2">
      <c r="L222" s="7">
        <v>81</v>
      </c>
      <c r="M222" s="44" t="s">
        <v>24</v>
      </c>
      <c r="N222" s="43"/>
      <c r="O222" s="18"/>
    </row>
    <row r="223" spans="12:15" x14ac:dyDescent="0.2">
      <c r="L223" s="7">
        <v>82</v>
      </c>
      <c r="M223" s="44" t="s">
        <v>24</v>
      </c>
      <c r="N223" s="43"/>
      <c r="O223" s="18"/>
    </row>
    <row r="224" spans="12:15" x14ac:dyDescent="0.2">
      <c r="L224" s="7">
        <v>83</v>
      </c>
      <c r="M224" s="44" t="s">
        <v>24</v>
      </c>
      <c r="N224" s="43"/>
      <c r="O224" s="18"/>
    </row>
    <row r="225" spans="12:15" x14ac:dyDescent="0.2">
      <c r="L225" s="7">
        <v>84</v>
      </c>
      <c r="M225" s="44" t="s">
        <v>24</v>
      </c>
      <c r="N225" s="43"/>
      <c r="O225" s="18"/>
    </row>
    <row r="226" spans="12:15" x14ac:dyDescent="0.2">
      <c r="L226" s="7">
        <v>85</v>
      </c>
      <c r="M226" s="44" t="s">
        <v>25</v>
      </c>
      <c r="N226" s="43"/>
      <c r="O226" s="18"/>
    </row>
    <row r="227" spans="12:15" x14ac:dyDescent="0.2">
      <c r="L227" s="7">
        <v>86</v>
      </c>
      <c r="M227" s="44" t="s">
        <v>25</v>
      </c>
      <c r="N227" s="43"/>
      <c r="O227" s="18"/>
    </row>
    <row r="228" spans="12:15" x14ac:dyDescent="0.2">
      <c r="L228" s="7">
        <v>87</v>
      </c>
      <c r="M228" s="44" t="s">
        <v>25</v>
      </c>
      <c r="N228" s="43"/>
      <c r="O228" s="18"/>
    </row>
    <row r="229" spans="12:15" x14ac:dyDescent="0.2">
      <c r="L229" s="7">
        <v>88</v>
      </c>
      <c r="M229" s="44" t="s">
        <v>25</v>
      </c>
      <c r="N229" s="43"/>
      <c r="O229" s="18"/>
    </row>
    <row r="230" spans="12:15" x14ac:dyDescent="0.2">
      <c r="L230" s="7">
        <v>89</v>
      </c>
      <c r="M230" s="44" t="s">
        <v>25</v>
      </c>
      <c r="N230" s="43"/>
      <c r="O230" s="18"/>
    </row>
    <row r="231" spans="12:15" x14ac:dyDescent="0.2">
      <c r="L231" s="7">
        <v>90</v>
      </c>
      <c r="M231" s="44" t="s">
        <v>25</v>
      </c>
      <c r="N231" s="43"/>
      <c r="O231" s="18"/>
    </row>
    <row r="232" spans="12:15" x14ac:dyDescent="0.2">
      <c r="L232" s="7">
        <v>91</v>
      </c>
      <c r="M232" s="44" t="s">
        <v>25</v>
      </c>
      <c r="N232" s="43"/>
      <c r="O232" s="18"/>
    </row>
    <row r="233" spans="12:15" x14ac:dyDescent="0.2">
      <c r="L233" s="7">
        <v>92</v>
      </c>
      <c r="M233" s="44" t="s">
        <v>25</v>
      </c>
      <c r="N233" s="43"/>
      <c r="O233" s="18"/>
    </row>
    <row r="234" spans="12:15" x14ac:dyDescent="0.2">
      <c r="L234" s="7">
        <v>93</v>
      </c>
      <c r="M234" s="44" t="s">
        <v>25</v>
      </c>
      <c r="N234" s="43"/>
      <c r="O234" s="18"/>
    </row>
    <row r="235" spans="12:15" x14ac:dyDescent="0.2">
      <c r="L235" s="7">
        <v>94</v>
      </c>
      <c r="M235" s="44" t="s">
        <v>25</v>
      </c>
      <c r="N235" s="43"/>
      <c r="O235" s="18"/>
    </row>
    <row r="236" spans="12:15" x14ac:dyDescent="0.2">
      <c r="L236" s="7">
        <v>95</v>
      </c>
      <c r="M236" s="44" t="s">
        <v>26</v>
      </c>
      <c r="N236" s="43"/>
      <c r="O236" s="18"/>
    </row>
    <row r="237" spans="12:15" x14ac:dyDescent="0.2">
      <c r="L237" s="7">
        <v>96</v>
      </c>
      <c r="M237" s="44" t="s">
        <v>26</v>
      </c>
      <c r="N237" s="43"/>
      <c r="O237" s="18"/>
    </row>
    <row r="238" spans="12:15" x14ac:dyDescent="0.2">
      <c r="L238" s="7">
        <v>97</v>
      </c>
      <c r="M238" s="44" t="s">
        <v>26</v>
      </c>
      <c r="N238" s="43"/>
      <c r="O238" s="18"/>
    </row>
    <row r="239" spans="12:15" x14ac:dyDescent="0.2">
      <c r="L239" s="7">
        <v>98</v>
      </c>
      <c r="M239" s="44" t="s">
        <v>26</v>
      </c>
      <c r="N239" s="43"/>
      <c r="O239" s="18"/>
    </row>
    <row r="240" spans="12:15" x14ac:dyDescent="0.2">
      <c r="L240" s="7">
        <v>99</v>
      </c>
      <c r="M240" s="44" t="s">
        <v>26</v>
      </c>
      <c r="N240" s="43"/>
      <c r="O240" s="18"/>
    </row>
    <row r="241" spans="12:15" x14ac:dyDescent="0.2">
      <c r="L241" s="7">
        <v>100</v>
      </c>
      <c r="M241" s="44" t="s">
        <v>26</v>
      </c>
      <c r="N241" s="43"/>
      <c r="O241" s="18"/>
    </row>
    <row r="242" spans="12:15" x14ac:dyDescent="0.2">
      <c r="L242" s="7">
        <v>101</v>
      </c>
      <c r="M242" s="44" t="s">
        <v>26</v>
      </c>
      <c r="N242" s="43"/>
      <c r="O242" s="18"/>
    </row>
    <row r="243" spans="12:15" x14ac:dyDescent="0.2">
      <c r="L243" s="7">
        <v>102</v>
      </c>
      <c r="M243" s="44" t="s">
        <v>26</v>
      </c>
      <c r="N243" s="43"/>
      <c r="O243" s="18"/>
    </row>
    <row r="244" spans="12:15" x14ac:dyDescent="0.2">
      <c r="L244" s="7">
        <v>103</v>
      </c>
      <c r="M244" s="44" t="s">
        <v>26</v>
      </c>
      <c r="N244" s="43"/>
      <c r="O244" s="18"/>
    </row>
    <row r="245" spans="12:15" x14ac:dyDescent="0.2">
      <c r="L245" s="7">
        <v>104</v>
      </c>
      <c r="M245" s="44" t="s">
        <v>26</v>
      </c>
      <c r="N245" s="43"/>
      <c r="O245" s="18"/>
    </row>
    <row r="246" spans="12:15" x14ac:dyDescent="0.2">
      <c r="L246" s="7">
        <v>105</v>
      </c>
      <c r="M246" s="44" t="s">
        <v>26</v>
      </c>
      <c r="N246" s="43"/>
      <c r="O246" s="18"/>
    </row>
    <row r="247" spans="12:15" x14ac:dyDescent="0.2">
      <c r="L247" s="7">
        <v>106</v>
      </c>
      <c r="M247" s="44" t="s">
        <v>26</v>
      </c>
      <c r="N247" s="43"/>
      <c r="O247" s="18"/>
    </row>
    <row r="248" spans="12:15" x14ac:dyDescent="0.2">
      <c r="L248" s="7">
        <v>107</v>
      </c>
      <c r="M248" s="44" t="s">
        <v>26</v>
      </c>
      <c r="N248" s="43"/>
      <c r="O248" s="18"/>
    </row>
    <row r="249" spans="12:15" x14ac:dyDescent="0.2">
      <c r="L249" s="7">
        <v>108</v>
      </c>
      <c r="M249" s="44" t="s">
        <v>26</v>
      </c>
      <c r="N249" s="43"/>
      <c r="O249" s="18"/>
    </row>
    <row r="250" spans="12:15" x14ac:dyDescent="0.2">
      <c r="L250" s="7">
        <v>109</v>
      </c>
      <c r="M250" s="44" t="s">
        <v>26</v>
      </c>
      <c r="N250" s="43"/>
      <c r="O250" s="18"/>
    </row>
    <row r="251" spans="12:15" x14ac:dyDescent="0.2">
      <c r="L251" s="7">
        <v>110</v>
      </c>
      <c r="M251" s="44" t="s">
        <v>26</v>
      </c>
      <c r="N251" s="43"/>
      <c r="O251" s="18"/>
    </row>
    <row r="252" spans="12:15" x14ac:dyDescent="0.2">
      <c r="L252" s="7">
        <v>111</v>
      </c>
      <c r="M252" s="44" t="s">
        <v>26</v>
      </c>
      <c r="N252" s="43"/>
      <c r="O252" s="18"/>
    </row>
    <row r="253" spans="12:15" x14ac:dyDescent="0.2">
      <c r="L253" s="7">
        <v>112</v>
      </c>
      <c r="M253" s="44" t="s">
        <v>26</v>
      </c>
      <c r="N253" s="43"/>
      <c r="O253" s="18"/>
    </row>
    <row r="254" spans="12:15" x14ac:dyDescent="0.2">
      <c r="L254" s="7">
        <v>113</v>
      </c>
      <c r="M254" s="44" t="s">
        <v>26</v>
      </c>
      <c r="N254" s="43"/>
      <c r="O254" s="18"/>
    </row>
    <row r="255" spans="12:15" x14ac:dyDescent="0.2">
      <c r="L255" s="7">
        <v>114</v>
      </c>
      <c r="M255" s="44" t="s">
        <v>26</v>
      </c>
      <c r="N255" s="43"/>
      <c r="O255" s="18"/>
    </row>
    <row r="256" spans="12:15" x14ac:dyDescent="0.2">
      <c r="L256" s="7">
        <v>115</v>
      </c>
      <c r="M256" s="44" t="s">
        <v>26</v>
      </c>
      <c r="N256" s="43"/>
      <c r="O256" s="18"/>
    </row>
    <row r="257" spans="13:15" x14ac:dyDescent="0.2">
      <c r="M257" s="189"/>
      <c r="N257" s="154"/>
      <c r="O257" s="18"/>
    </row>
    <row r="258" spans="13:15" x14ac:dyDescent="0.2">
      <c r="M258" s="189"/>
      <c r="N258" s="154"/>
      <c r="O258" s="18"/>
    </row>
    <row r="259" spans="13:15" x14ac:dyDescent="0.2">
      <c r="M259" s="189"/>
      <c r="N259" s="154"/>
      <c r="O259" s="18"/>
    </row>
    <row r="260" spans="13:15" x14ac:dyDescent="0.2">
      <c r="M260" s="189"/>
      <c r="N260" s="154"/>
      <c r="O260" s="18"/>
    </row>
    <row r="261" spans="13:15" x14ac:dyDescent="0.2">
      <c r="M261" s="189"/>
      <c r="N261" s="154"/>
      <c r="O261" s="18"/>
    </row>
    <row r="262" spans="13:15" x14ac:dyDescent="0.2">
      <c r="M262" s="189"/>
      <c r="N262" s="154"/>
      <c r="O262" s="18"/>
    </row>
    <row r="263" spans="13:15" x14ac:dyDescent="0.2">
      <c r="M263" s="189"/>
      <c r="N263" s="154"/>
      <c r="O263" s="18"/>
    </row>
    <row r="264" spans="13:15" x14ac:dyDescent="0.2">
      <c r="M264" s="189"/>
      <c r="N264" s="154"/>
      <c r="O264" s="18"/>
    </row>
    <row r="265" spans="13:15" x14ac:dyDescent="0.2">
      <c r="M265" s="189"/>
      <c r="N265" s="154"/>
      <c r="O265" s="18"/>
    </row>
    <row r="266" spans="13:15" x14ac:dyDescent="0.2">
      <c r="M266" s="189"/>
      <c r="N266" s="154"/>
      <c r="O266" s="18"/>
    </row>
    <row r="267" spans="13:15" x14ac:dyDescent="0.2">
      <c r="M267" s="189"/>
      <c r="N267" s="154"/>
      <c r="O267" s="18"/>
    </row>
    <row r="268" spans="13:15" x14ac:dyDescent="0.2">
      <c r="M268" s="189"/>
      <c r="N268" s="154"/>
      <c r="O268" s="18"/>
    </row>
    <row r="269" spans="13:15" x14ac:dyDescent="0.2">
      <c r="M269" s="189"/>
      <c r="N269" s="154"/>
      <c r="O269" s="18"/>
    </row>
    <row r="270" spans="13:15" x14ac:dyDescent="0.2">
      <c r="M270" s="189"/>
      <c r="N270" s="154"/>
      <c r="O270" s="18"/>
    </row>
    <row r="271" spans="13:15" x14ac:dyDescent="0.2">
      <c r="M271" s="189"/>
      <c r="N271" s="154"/>
      <c r="O271" s="18"/>
    </row>
    <row r="272" spans="13:15" x14ac:dyDescent="0.2">
      <c r="M272" s="189"/>
      <c r="N272" s="154"/>
      <c r="O272" s="18"/>
    </row>
    <row r="273" spans="13:15" x14ac:dyDescent="0.2">
      <c r="M273" s="189"/>
      <c r="N273" s="154"/>
      <c r="O273" s="18"/>
    </row>
    <row r="274" spans="13:15" x14ac:dyDescent="0.2">
      <c r="M274" s="189"/>
      <c r="N274" s="154"/>
      <c r="O274" s="18"/>
    </row>
    <row r="275" spans="13:15" x14ac:dyDescent="0.2">
      <c r="M275" s="189"/>
      <c r="N275" s="154"/>
      <c r="O275" s="18"/>
    </row>
    <row r="276" spans="13:15" x14ac:dyDescent="0.2">
      <c r="M276" s="189"/>
      <c r="N276" s="154"/>
      <c r="O276" s="18"/>
    </row>
    <row r="277" spans="13:15" x14ac:dyDescent="0.2">
      <c r="M277" s="189"/>
      <c r="N277" s="154"/>
      <c r="O277" s="18"/>
    </row>
    <row r="278" spans="13:15" x14ac:dyDescent="0.2">
      <c r="M278" s="189"/>
      <c r="N278" s="154"/>
      <c r="O278" s="18"/>
    </row>
    <row r="279" spans="13:15" x14ac:dyDescent="0.2">
      <c r="M279" s="189"/>
      <c r="N279" s="154"/>
      <c r="O279" s="18"/>
    </row>
    <row r="280" spans="13:15" x14ac:dyDescent="0.2">
      <c r="M280" s="189"/>
      <c r="N280" s="154"/>
      <c r="O280" s="18"/>
    </row>
    <row r="281" spans="13:15" x14ac:dyDescent="0.2">
      <c r="M281" s="189"/>
      <c r="N281" s="154"/>
      <c r="O281" s="18"/>
    </row>
    <row r="282" spans="13:15" x14ac:dyDescent="0.2">
      <c r="M282" s="189"/>
      <c r="N282" s="154"/>
      <c r="O282" s="18"/>
    </row>
    <row r="283" spans="13:15" x14ac:dyDescent="0.2">
      <c r="M283" s="189"/>
      <c r="N283" s="154"/>
      <c r="O283" s="18"/>
    </row>
    <row r="284" spans="13:15" x14ac:dyDescent="0.2">
      <c r="M284" s="189"/>
      <c r="N284" s="154"/>
      <c r="O284" s="18"/>
    </row>
    <row r="285" spans="13:15" x14ac:dyDescent="0.2">
      <c r="M285" s="189"/>
      <c r="N285" s="154"/>
      <c r="O285" s="18"/>
    </row>
    <row r="286" spans="13:15" x14ac:dyDescent="0.2">
      <c r="M286" s="189"/>
      <c r="N286" s="154"/>
      <c r="O286" s="18"/>
    </row>
    <row r="287" spans="13:15" x14ac:dyDescent="0.2">
      <c r="M287" s="189"/>
      <c r="N287" s="154"/>
      <c r="O287" s="18"/>
    </row>
    <row r="288" spans="13:15" x14ac:dyDescent="0.2">
      <c r="M288" s="189"/>
      <c r="N288" s="154"/>
      <c r="O288" s="18"/>
    </row>
    <row r="289" spans="13:15" x14ac:dyDescent="0.2">
      <c r="M289" s="189"/>
      <c r="N289" s="154"/>
      <c r="O289" s="18"/>
    </row>
    <row r="290" spans="13:15" x14ac:dyDescent="0.2">
      <c r="M290" s="189"/>
      <c r="N290" s="154"/>
      <c r="O290" s="18"/>
    </row>
    <row r="291" spans="13:15" x14ac:dyDescent="0.2">
      <c r="M291" s="189"/>
      <c r="N291" s="154"/>
      <c r="O291" s="18"/>
    </row>
    <row r="292" spans="13:15" x14ac:dyDescent="0.2">
      <c r="M292" s="189"/>
      <c r="N292" s="154"/>
      <c r="O292" s="18"/>
    </row>
    <row r="293" spans="13:15" x14ac:dyDescent="0.2">
      <c r="M293" s="189"/>
      <c r="N293" s="154"/>
      <c r="O293" s="18"/>
    </row>
    <row r="294" spans="13:15" x14ac:dyDescent="0.2">
      <c r="M294" s="189"/>
      <c r="N294" s="154"/>
      <c r="O294" s="18"/>
    </row>
    <row r="295" spans="13:15" x14ac:dyDescent="0.2">
      <c r="M295" s="189"/>
      <c r="N295" s="154"/>
      <c r="O295" s="18"/>
    </row>
    <row r="296" spans="13:15" x14ac:dyDescent="0.2">
      <c r="M296" s="189"/>
      <c r="N296" s="154"/>
      <c r="O296" s="18"/>
    </row>
    <row r="297" spans="13:15" x14ac:dyDescent="0.2">
      <c r="M297" s="189"/>
      <c r="N297" s="154"/>
      <c r="O297" s="18"/>
    </row>
    <row r="298" spans="13:15" x14ac:dyDescent="0.2">
      <c r="M298" s="189"/>
      <c r="N298" s="154"/>
      <c r="O298" s="18"/>
    </row>
    <row r="299" spans="13:15" x14ac:dyDescent="0.2">
      <c r="M299" s="189"/>
      <c r="N299" s="154"/>
      <c r="O299" s="18"/>
    </row>
    <row r="300" spans="13:15" x14ac:dyDescent="0.2">
      <c r="M300" s="189"/>
      <c r="N300" s="154"/>
      <c r="O300" s="18"/>
    </row>
    <row r="301" spans="13:15" x14ac:dyDescent="0.2">
      <c r="M301" s="189"/>
      <c r="N301" s="154"/>
      <c r="O301" s="18"/>
    </row>
    <row r="302" spans="13:15" x14ac:dyDescent="0.2">
      <c r="M302" s="189"/>
      <c r="N302" s="154"/>
      <c r="O302" s="18"/>
    </row>
    <row r="303" spans="13:15" x14ac:dyDescent="0.2">
      <c r="M303" s="189"/>
      <c r="N303" s="154"/>
      <c r="O303" s="18"/>
    </row>
    <row r="304" spans="13:15" x14ac:dyDescent="0.2">
      <c r="M304" s="189"/>
      <c r="N304" s="154"/>
      <c r="O304" s="18"/>
    </row>
    <row r="305" spans="13:15" x14ac:dyDescent="0.2">
      <c r="M305" s="189"/>
      <c r="N305" s="154"/>
      <c r="O305" s="18"/>
    </row>
    <row r="306" spans="13:15" x14ac:dyDescent="0.2">
      <c r="M306" s="189"/>
      <c r="N306" s="154"/>
      <c r="O306" s="18"/>
    </row>
    <row r="307" spans="13:15" x14ac:dyDescent="0.2">
      <c r="M307" s="189"/>
      <c r="N307" s="154"/>
      <c r="O307" s="18"/>
    </row>
    <row r="308" spans="13:15" x14ac:dyDescent="0.2">
      <c r="M308" s="189"/>
      <c r="N308" s="154"/>
      <c r="O308" s="18"/>
    </row>
    <row r="309" spans="13:15" x14ac:dyDescent="0.2">
      <c r="M309" s="189"/>
      <c r="N309" s="154"/>
      <c r="O309" s="18"/>
    </row>
    <row r="310" spans="13:15" x14ac:dyDescent="0.2">
      <c r="M310" s="189"/>
      <c r="N310" s="154"/>
      <c r="O310" s="18"/>
    </row>
    <row r="311" spans="13:15" x14ac:dyDescent="0.2">
      <c r="M311" s="189"/>
      <c r="N311" s="154"/>
      <c r="O311" s="18"/>
    </row>
    <row r="312" spans="13:15" x14ac:dyDescent="0.2">
      <c r="M312" s="189"/>
      <c r="N312" s="154"/>
      <c r="O312" s="18"/>
    </row>
    <row r="313" spans="13:15" x14ac:dyDescent="0.2">
      <c r="M313" s="189"/>
      <c r="N313" s="154"/>
      <c r="O313" s="18"/>
    </row>
    <row r="314" spans="13:15" x14ac:dyDescent="0.2">
      <c r="M314" s="189"/>
      <c r="N314" s="154"/>
      <c r="O314" s="18"/>
    </row>
    <row r="315" spans="13:15" x14ac:dyDescent="0.2">
      <c r="M315" s="189"/>
      <c r="N315" s="154"/>
      <c r="O315" s="18"/>
    </row>
    <row r="316" spans="13:15" x14ac:dyDescent="0.2">
      <c r="M316" s="189"/>
      <c r="N316" s="154"/>
      <c r="O316" s="18"/>
    </row>
    <row r="317" spans="13:15" x14ac:dyDescent="0.2">
      <c r="M317" s="189"/>
      <c r="N317" s="154"/>
      <c r="O317" s="18"/>
    </row>
    <row r="318" spans="13:15" x14ac:dyDescent="0.2">
      <c r="M318" s="189"/>
      <c r="N318" s="154"/>
      <c r="O318" s="18"/>
    </row>
    <row r="319" spans="13:15" x14ac:dyDescent="0.2">
      <c r="M319" s="189"/>
      <c r="N319" s="154"/>
      <c r="O319" s="18"/>
    </row>
    <row r="320" spans="13:15" x14ac:dyDescent="0.2">
      <c r="M320" s="189"/>
      <c r="N320" s="154"/>
      <c r="O320" s="18"/>
    </row>
  </sheetData>
  <mergeCells count="104">
    <mergeCell ref="M303:N303"/>
    <mergeCell ref="M304:N304"/>
    <mergeCell ref="M305:N305"/>
    <mergeCell ref="M306:N306"/>
    <mergeCell ref="M307:N307"/>
    <mergeCell ref="M308:N308"/>
    <mergeCell ref="M309:N309"/>
    <mergeCell ref="M297:N297"/>
    <mergeCell ref="M298:N298"/>
    <mergeCell ref="M299:N299"/>
    <mergeCell ref="M300:N300"/>
    <mergeCell ref="M301:N301"/>
    <mergeCell ref="M302:N302"/>
    <mergeCell ref="M317:N317"/>
    <mergeCell ref="M318:N318"/>
    <mergeCell ref="M319:N319"/>
    <mergeCell ref="M320:N320"/>
    <mergeCell ref="M310:N310"/>
    <mergeCell ref="M311:N311"/>
    <mergeCell ref="M312:N312"/>
    <mergeCell ref="M313:N313"/>
    <mergeCell ref="M314:N314"/>
    <mergeCell ref="M315:N315"/>
    <mergeCell ref="M316:N316"/>
    <mergeCell ref="M296:N296"/>
    <mergeCell ref="M285:N285"/>
    <mergeCell ref="M286:N286"/>
    <mergeCell ref="M287:N287"/>
    <mergeCell ref="M288:N288"/>
    <mergeCell ref="M289:N289"/>
    <mergeCell ref="M290:N290"/>
    <mergeCell ref="M279:N279"/>
    <mergeCell ref="M280:N280"/>
    <mergeCell ref="M281:N281"/>
    <mergeCell ref="M282:N282"/>
    <mergeCell ref="M283:N283"/>
    <mergeCell ref="M284:N284"/>
    <mergeCell ref="M291:N291"/>
    <mergeCell ref="M292:N292"/>
    <mergeCell ref="M293:N293"/>
    <mergeCell ref="M294:N294"/>
    <mergeCell ref="M295:N295"/>
    <mergeCell ref="M273:N273"/>
    <mergeCell ref="M274:N274"/>
    <mergeCell ref="M275:N275"/>
    <mergeCell ref="M276:N276"/>
    <mergeCell ref="M277:N277"/>
    <mergeCell ref="M278:N278"/>
    <mergeCell ref="M267:N267"/>
    <mergeCell ref="M268:N268"/>
    <mergeCell ref="M269:N269"/>
    <mergeCell ref="M270:N270"/>
    <mergeCell ref="M271:N271"/>
    <mergeCell ref="M272:N272"/>
    <mergeCell ref="M261:N261"/>
    <mergeCell ref="M262:N262"/>
    <mergeCell ref="M263:N263"/>
    <mergeCell ref="M264:N264"/>
    <mergeCell ref="M265:N265"/>
    <mergeCell ref="M266:N266"/>
    <mergeCell ref="M74:O74"/>
    <mergeCell ref="M72:N72"/>
    <mergeCell ref="M257:N257"/>
    <mergeCell ref="M258:N258"/>
    <mergeCell ref="M259:N259"/>
    <mergeCell ref="M260:N260"/>
    <mergeCell ref="M73:N73"/>
    <mergeCell ref="L2:S2"/>
    <mergeCell ref="M68:N68"/>
    <mergeCell ref="M70:N70"/>
    <mergeCell ref="W6:AE6"/>
    <mergeCell ref="W4:AE4"/>
    <mergeCell ref="X32:AC32"/>
    <mergeCell ref="L32:M32"/>
    <mergeCell ref="Z15:Z16"/>
    <mergeCell ref="AD28:AE28"/>
    <mergeCell ref="X24:Y24"/>
    <mergeCell ref="AB24:AC24"/>
    <mergeCell ref="Z19:Z20"/>
    <mergeCell ref="AA19:AA20"/>
    <mergeCell ref="Z24:AA24"/>
    <mergeCell ref="M69:O69"/>
    <mergeCell ref="W23:AE23"/>
    <mergeCell ref="AA15:AA16"/>
    <mergeCell ref="W17:W18"/>
    <mergeCell ref="Z17:Z18"/>
    <mergeCell ref="AA17:AA18"/>
    <mergeCell ref="W12:AE12"/>
    <mergeCell ref="W10:AE10"/>
    <mergeCell ref="AD24:AE24"/>
    <mergeCell ref="W19:W20"/>
    <mergeCell ref="CJ52:CL52"/>
    <mergeCell ref="CG52:CI52"/>
    <mergeCell ref="AM68:AO68"/>
    <mergeCell ref="AQ68:AS68"/>
    <mergeCell ref="W33:AE51"/>
    <mergeCell ref="M71:N71"/>
    <mergeCell ref="AR5:AT5"/>
    <mergeCell ref="W13:W14"/>
    <mergeCell ref="Z13:Z14"/>
    <mergeCell ref="AA13:AA14"/>
    <mergeCell ref="W15:W16"/>
    <mergeCell ref="AN5:AP5"/>
    <mergeCell ref="Z11:AC11"/>
  </mergeCells>
  <phoneticPr fontId="8" type="noConversion"/>
  <dataValidations count="2">
    <dataValidation type="list" allowBlank="1" showInputMessage="1" showErrorMessage="1" sqref="Z3">
      <formula1>$AM$54:$AM$64</formula1>
    </dataValidation>
    <dataValidation type="list" allowBlank="1" showInputMessage="1" showErrorMessage="1" sqref="Z11:AC11">
      <formula1>$L$21:$L$26</formula1>
    </dataValidation>
  </dataValidations>
  <pageMargins left="0.70000000000000007" right="0.70000000000000007" top="0.79000000000000015" bottom="0.79000000000000015" header="0.30000000000000004" footer="0.30000000000000004"/>
  <pageSetup paperSize="9" scale="69"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1028" r:id="rId3" name="Scroll Bar 4">
              <controlPr defaultSize="0" autoPict="0">
                <anchor moveWithCells="1">
                  <from>
                    <xdr:col>27</xdr:col>
                    <xdr:colOff>333375</xdr:colOff>
                    <xdr:row>12</xdr:row>
                    <xdr:rowOff>28575</xdr:rowOff>
                  </from>
                  <to>
                    <xdr:col>29</xdr:col>
                    <xdr:colOff>447675</xdr:colOff>
                    <xdr:row>13</xdr:row>
                    <xdr:rowOff>142875</xdr:rowOff>
                  </to>
                </anchor>
              </controlPr>
            </control>
          </mc:Choice>
        </mc:AlternateContent>
        <mc:AlternateContent xmlns:mc="http://schemas.openxmlformats.org/markup-compatibility/2006">
          <mc:Choice Requires="x14">
            <control shapeId="1030" r:id="rId4" name="Scroll Bar 6">
              <controlPr defaultSize="0" autoPict="0">
                <anchor moveWithCells="1">
                  <from>
                    <xdr:col>27</xdr:col>
                    <xdr:colOff>333375</xdr:colOff>
                    <xdr:row>14</xdr:row>
                    <xdr:rowOff>28575</xdr:rowOff>
                  </from>
                  <to>
                    <xdr:col>29</xdr:col>
                    <xdr:colOff>428625</xdr:colOff>
                    <xdr:row>15</xdr:row>
                    <xdr:rowOff>142875</xdr:rowOff>
                  </to>
                </anchor>
              </controlPr>
            </control>
          </mc:Choice>
        </mc:AlternateContent>
      </controls>
    </mc:Choice>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4</vt:i4>
      </vt:variant>
    </vt:vector>
  </HeadingPairs>
  <TitlesOfParts>
    <vt:vector size="5" baseType="lpstr">
      <vt:lpstr>ProCold_Calculator</vt:lpstr>
      <vt:lpstr>ProCold_Calculator!Druckbereich</vt:lpstr>
      <vt:lpstr>SpalteVorher</vt:lpstr>
      <vt:lpstr>ZeileN</vt:lpstr>
      <vt:lpstr>ZeileVorher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Presch David</dc:creator>
  <cp:lastModifiedBy>e.brommer</cp:lastModifiedBy>
  <cp:lastPrinted>2015-11-30T09:41:16Z</cp:lastPrinted>
  <dcterms:created xsi:type="dcterms:W3CDTF">2015-06-24T06:34:37Z</dcterms:created>
  <dcterms:modified xsi:type="dcterms:W3CDTF">2016-05-19T13:54:55Z</dcterms:modified>
</cp:coreProperties>
</file>